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REAL\5-Ecologie\DBAG\08_GQ\15_Gestion_crise\00_BAG\01_BSH\04_Carto\Barrages\"/>
    </mc:Choice>
  </mc:AlternateContent>
  <xr:revisionPtr revIDLastSave="0" documentId="13_ncr:1_{7936AD7C-1F00-4295-B6B2-22B29EFBE565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Lisez-moi" sheetId="1" r:id="rId1"/>
    <sheet name="Réserves 2022" sheetId="2" r:id="rId2"/>
    <sheet name="Graphiques" sheetId="3" r:id="rId3"/>
    <sheet name="Bilan_BSH" sheetId="4" r:id="rId4"/>
    <sheet name="Cartographie" sheetId="5" r:id="rId5"/>
  </sheets>
  <externalReferences>
    <externalReference r:id="rId6"/>
  </externalReferences>
  <definedNames>
    <definedName name="Excel_BuiltIn__FilterDatabase" localSheetId="1">'Réserves 2022'!$A$1:$BK$14</definedName>
    <definedName name="_xlnm.Print_Area" localSheetId="1">'Réserves 2022'!$A$1:$BJ$73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I58" i="2" l="1"/>
  <c r="BH58" i="2"/>
  <c r="BH43" i="2"/>
  <c r="BH31" i="2"/>
  <c r="BH14" i="2"/>
  <c r="BH16" i="2"/>
  <c r="H100" i="4"/>
  <c r="H99" i="4"/>
  <c r="H98" i="4"/>
  <c r="H86" i="4"/>
  <c r="H85" i="4"/>
  <c r="K85" i="4" s="1"/>
  <c r="H84" i="4"/>
  <c r="K71" i="4"/>
  <c r="H71" i="4"/>
  <c r="H70" i="4"/>
  <c r="H72" i="4" s="1"/>
  <c r="G47" i="3"/>
  <c r="F47" i="3"/>
  <c r="E47" i="3"/>
  <c r="D47" i="3"/>
  <c r="C47" i="3"/>
  <c r="H46" i="3"/>
  <c r="G46" i="3"/>
  <c r="F46" i="3"/>
  <c r="E46" i="3"/>
  <c r="D46" i="3"/>
  <c r="C46" i="3"/>
  <c r="H45" i="3"/>
  <c r="G45" i="3"/>
  <c r="F45" i="3"/>
  <c r="E45" i="3"/>
  <c r="D45" i="3"/>
  <c r="C45" i="3"/>
  <c r="H44" i="3"/>
  <c r="G44" i="3"/>
  <c r="F44" i="3"/>
  <c r="E44" i="3"/>
  <c r="D44" i="3"/>
  <c r="C44" i="3"/>
  <c r="AT40" i="3"/>
  <c r="AS40" i="3"/>
  <c r="AQ40" i="3"/>
  <c r="AO40" i="3"/>
  <c r="AM40" i="3"/>
  <c r="AK40" i="3"/>
  <c r="AI40" i="3"/>
  <c r="AG40" i="3"/>
  <c r="AE40" i="3"/>
  <c r="AC40" i="3"/>
  <c r="AA40" i="3"/>
  <c r="Y40" i="3"/>
  <c r="W40" i="3"/>
  <c r="U40" i="3"/>
  <c r="S40" i="3"/>
  <c r="M19" i="3"/>
  <c r="L19" i="3"/>
  <c r="K19" i="3"/>
  <c r="J19" i="3"/>
  <c r="I19" i="3"/>
  <c r="H18" i="3"/>
  <c r="G18" i="3"/>
  <c r="F18" i="3"/>
  <c r="E18" i="3"/>
  <c r="D18" i="3"/>
  <c r="C18" i="3"/>
  <c r="B18" i="3"/>
  <c r="M17" i="3"/>
  <c r="L17" i="3"/>
  <c r="K17" i="3"/>
  <c r="J17" i="3"/>
  <c r="I17" i="3"/>
  <c r="H17" i="3"/>
  <c r="G17" i="3"/>
  <c r="F17" i="3"/>
  <c r="E17" i="3"/>
  <c r="D17" i="3"/>
  <c r="C17" i="3"/>
  <c r="B17" i="3"/>
  <c r="M16" i="3"/>
  <c r="L16" i="3"/>
  <c r="K16" i="3"/>
  <c r="J16" i="3"/>
  <c r="I16" i="3"/>
  <c r="H16" i="3"/>
  <c r="G16" i="3"/>
  <c r="F16" i="3"/>
  <c r="E16" i="3"/>
  <c r="D16" i="3"/>
  <c r="C16" i="3"/>
  <c r="B16" i="3"/>
  <c r="M15" i="3"/>
  <c r="L15" i="3"/>
  <c r="K15" i="3"/>
  <c r="J15" i="3"/>
  <c r="I15" i="3"/>
  <c r="H15" i="3"/>
  <c r="G15" i="3"/>
  <c r="F15" i="3"/>
  <c r="E15" i="3"/>
  <c r="D15" i="3"/>
  <c r="C15" i="3"/>
  <c r="B15" i="3"/>
  <c r="M14" i="3"/>
  <c r="L14" i="3"/>
  <c r="K14" i="3"/>
  <c r="J14" i="3"/>
  <c r="I14" i="3"/>
  <c r="H14" i="3"/>
  <c r="H22" i="3" s="1"/>
  <c r="G14" i="3"/>
  <c r="F14" i="3"/>
  <c r="F21" i="3" s="1"/>
  <c r="E14" i="3"/>
  <c r="E21" i="3" s="1"/>
  <c r="D14" i="3"/>
  <c r="D22" i="3" s="1"/>
  <c r="C14" i="3"/>
  <c r="B14" i="3"/>
  <c r="B22" i="3" s="1"/>
  <c r="AO9" i="3"/>
  <c r="AM9" i="3"/>
  <c r="AK9" i="3"/>
  <c r="AI9" i="3"/>
  <c r="AG9" i="3"/>
  <c r="AE9" i="3"/>
  <c r="AC9" i="3"/>
  <c r="AA9" i="3"/>
  <c r="Y9" i="3"/>
  <c r="W9" i="3"/>
  <c r="U9" i="3"/>
  <c r="S9" i="3"/>
  <c r="Q9" i="3"/>
  <c r="O9" i="3"/>
  <c r="M9" i="3"/>
  <c r="K9" i="3"/>
  <c r="I9" i="3"/>
  <c r="G9" i="3"/>
  <c r="E9" i="3"/>
  <c r="C9" i="3"/>
  <c r="B8" i="3"/>
  <c r="BF76" i="2"/>
  <c r="AZ76" i="2"/>
  <c r="AT76" i="2"/>
  <c r="AN76" i="2"/>
  <c r="BH75" i="2"/>
  <c r="BF75" i="2"/>
  <c r="BD75" i="2"/>
  <c r="BB75" i="2"/>
  <c r="AZ75" i="2"/>
  <c r="AX75" i="2"/>
  <c r="AV75" i="2"/>
  <c r="AT75" i="2"/>
  <c r="AR75" i="2"/>
  <c r="AP75" i="2"/>
  <c r="AN75" i="2"/>
  <c r="AL75" i="2"/>
  <c r="AJ75" i="2"/>
  <c r="AH75" i="2"/>
  <c r="BF73" i="2"/>
  <c r="AG73" i="2"/>
  <c r="AE73" i="2"/>
  <c r="P73" i="2"/>
  <c r="O73" i="2"/>
  <c r="N73" i="2"/>
  <c r="M73" i="2"/>
  <c r="L73" i="2"/>
  <c r="K73" i="2"/>
  <c r="J73" i="2"/>
  <c r="I73" i="2"/>
  <c r="H73" i="2"/>
  <c r="G73" i="2"/>
  <c r="F73" i="2"/>
  <c r="E73" i="2"/>
  <c r="BG71" i="2"/>
  <c r="BE71" i="2"/>
  <c r="BC71" i="2"/>
  <c r="BA71" i="2"/>
  <c r="AY71" i="2"/>
  <c r="AW71" i="2"/>
  <c r="AU71" i="2"/>
  <c r="BG70" i="2"/>
  <c r="BE70" i="2"/>
  <c r="BC70" i="2"/>
  <c r="BA70" i="2"/>
  <c r="AY70" i="2"/>
  <c r="AW70" i="2"/>
  <c r="AU70" i="2"/>
  <c r="AS70" i="2"/>
  <c r="AQ70" i="2"/>
  <c r="AO70" i="2"/>
  <c r="AM70" i="2"/>
  <c r="AK70" i="2"/>
  <c r="AI70" i="2"/>
  <c r="BI69" i="2"/>
  <c r="BG69" i="2"/>
  <c r="BE69" i="2"/>
  <c r="BC69" i="2"/>
  <c r="BA69" i="2"/>
  <c r="AY69" i="2"/>
  <c r="AW69" i="2"/>
  <c r="AU69" i="2"/>
  <c r="AS69" i="2"/>
  <c r="AQ69" i="2"/>
  <c r="AO69" i="2"/>
  <c r="AM69" i="2"/>
  <c r="AK69" i="2"/>
  <c r="AI69" i="2"/>
  <c r="AG69" i="2"/>
  <c r="AE69" i="2"/>
  <c r="AC69" i="2"/>
  <c r="AC73" i="2" s="1"/>
  <c r="B43" i="4" s="1"/>
  <c r="D57" i="4" s="1"/>
  <c r="U69" i="2"/>
  <c r="S69" i="2"/>
  <c r="AY68" i="2"/>
  <c r="AW68" i="2"/>
  <c r="AU68" i="2"/>
  <c r="AS68" i="2"/>
  <c r="AQ68" i="2"/>
  <c r="AO68" i="2"/>
  <c r="AM68" i="2"/>
  <c r="BG67" i="2"/>
  <c r="BE67" i="2"/>
  <c r="BC67" i="2"/>
  <c r="BA67" i="2"/>
  <c r="AY67" i="2"/>
  <c r="AW67" i="2"/>
  <c r="AU67" i="2"/>
  <c r="AS67" i="2"/>
  <c r="AQ67" i="2"/>
  <c r="AO67" i="2"/>
  <c r="AM67" i="2"/>
  <c r="AK67" i="2"/>
  <c r="AI67" i="2"/>
  <c r="AK66" i="2"/>
  <c r="Q66" i="2"/>
  <c r="AY66" i="2" s="1"/>
  <c r="BG65" i="2"/>
  <c r="BE65" i="2"/>
  <c r="BC65" i="2"/>
  <c r="BA65" i="2"/>
  <c r="AY65" i="2"/>
  <c r="AW65" i="2"/>
  <c r="AU65" i="2"/>
  <c r="AS65" i="2"/>
  <c r="AQ65" i="2"/>
  <c r="AO65" i="2"/>
  <c r="AM65" i="2"/>
  <c r="AK65" i="2"/>
  <c r="AI65" i="2"/>
  <c r="BG64" i="2"/>
  <c r="BE64" i="2"/>
  <c r="BC64" i="2"/>
  <c r="BA64" i="2"/>
  <c r="AY64" i="2"/>
  <c r="AW64" i="2"/>
  <c r="AU64" i="2"/>
  <c r="AS64" i="2"/>
  <c r="AQ64" i="2"/>
  <c r="AO64" i="2"/>
  <c r="AM64" i="2"/>
  <c r="AK64" i="2"/>
  <c r="AI64" i="2"/>
  <c r="AZ62" i="2"/>
  <c r="AT62" i="2"/>
  <c r="AN62" i="2"/>
  <c r="AH62" i="2"/>
  <c r="AB62" i="2"/>
  <c r="Z62" i="2"/>
  <c r="BB61" i="2"/>
  <c r="AZ61" i="2"/>
  <c r="AX61" i="2"/>
  <c r="AV61" i="2"/>
  <c r="AT61" i="2"/>
  <c r="AR61" i="2"/>
  <c r="AP61" i="2"/>
  <c r="AN61" i="2"/>
  <c r="AL61" i="2"/>
  <c r="AJ61" i="2"/>
  <c r="AH61" i="2"/>
  <c r="AF61" i="2"/>
  <c r="AD61" i="2"/>
  <c r="AB61" i="2"/>
  <c r="Z61" i="2"/>
  <c r="V61" i="2"/>
  <c r="BF58" i="2"/>
  <c r="BG58" i="2" s="1"/>
  <c r="B111" i="4" s="1"/>
  <c r="F126" i="4" s="1"/>
  <c r="BE58" i="2"/>
  <c r="BD58" i="2"/>
  <c r="BD60" i="2" s="1"/>
  <c r="BD61" i="2" s="1"/>
  <c r="BC58" i="2"/>
  <c r="BA58" i="2"/>
  <c r="B96" i="4" s="1"/>
  <c r="D111" i="4" s="1"/>
  <c r="AY58" i="2"/>
  <c r="AU58" i="2"/>
  <c r="B82" i="4" s="1"/>
  <c r="D96" i="4" s="1"/>
  <c r="AS58" i="2"/>
  <c r="AQ58" i="2"/>
  <c r="AM58" i="2"/>
  <c r="AK58" i="2"/>
  <c r="AI58" i="2"/>
  <c r="B54" i="4" s="1"/>
  <c r="D68" i="4" s="1"/>
  <c r="AE58" i="2"/>
  <c r="AC58" i="2"/>
  <c r="B40" i="4" s="1"/>
  <c r="D54" i="4" s="1"/>
  <c r="AA58" i="2"/>
  <c r="B25" i="4" s="1"/>
  <c r="D40" i="4" s="1"/>
  <c r="W58" i="2"/>
  <c r="B10" i="4" s="1"/>
  <c r="F25" i="4" s="1"/>
  <c r="U58" i="2"/>
  <c r="D10" i="4" s="1"/>
  <c r="S58" i="2"/>
  <c r="F10" i="4" s="1"/>
  <c r="C126" i="4" s="1"/>
  <c r="Q58" i="2"/>
  <c r="O58" i="2"/>
  <c r="N58" i="2"/>
  <c r="N60" i="2" s="1"/>
  <c r="M58" i="2"/>
  <c r="M60" i="2" s="1"/>
  <c r="L58" i="2"/>
  <c r="K58" i="2"/>
  <c r="J58" i="2"/>
  <c r="J60" i="2" s="1"/>
  <c r="I58" i="2"/>
  <c r="I60" i="2" s="1"/>
  <c r="H58" i="2"/>
  <c r="G58" i="2"/>
  <c r="F58" i="2"/>
  <c r="F60" i="2" s="1"/>
  <c r="E58" i="2"/>
  <c r="E60" i="2" s="1"/>
  <c r="BI57" i="2"/>
  <c r="BG57" i="2"/>
  <c r="BE57" i="2"/>
  <c r="BC57" i="2"/>
  <c r="BA57" i="2"/>
  <c r="AY57" i="2"/>
  <c r="AW57" i="2"/>
  <c r="AU57" i="2"/>
  <c r="AS57" i="2"/>
  <c r="AQ57" i="2"/>
  <c r="AO57" i="2"/>
  <c r="AM57" i="2"/>
  <c r="AK57" i="2"/>
  <c r="AI57" i="2"/>
  <c r="AG57" i="2"/>
  <c r="AE57" i="2"/>
  <c r="AC57" i="2"/>
  <c r="AA57" i="2"/>
  <c r="Y57" i="2"/>
  <c r="W57" i="2"/>
  <c r="U57" i="2"/>
  <c r="S57" i="2"/>
  <c r="BI56" i="2"/>
  <c r="BG56" i="2"/>
  <c r="BE56" i="2"/>
  <c r="BC56" i="2"/>
  <c r="BA56" i="2"/>
  <c r="AY56" i="2"/>
  <c r="AW56" i="2"/>
  <c r="AU56" i="2"/>
  <c r="AS56" i="2"/>
  <c r="AQ56" i="2"/>
  <c r="AO56" i="2"/>
  <c r="AM56" i="2"/>
  <c r="AK56" i="2"/>
  <c r="AI56" i="2"/>
  <c r="AG56" i="2"/>
  <c r="AE56" i="2"/>
  <c r="AC56" i="2"/>
  <c r="AA56" i="2"/>
  <c r="Y56" i="2"/>
  <c r="W56" i="2"/>
  <c r="U56" i="2"/>
  <c r="S56" i="2"/>
  <c r="BI55" i="2"/>
  <c r="BG55" i="2"/>
  <c r="BE55" i="2"/>
  <c r="BC55" i="2"/>
  <c r="BA55" i="2"/>
  <c r="AY55" i="2"/>
  <c r="AW55" i="2"/>
  <c r="AU55" i="2"/>
  <c r="AS55" i="2"/>
  <c r="AQ55" i="2"/>
  <c r="AO55" i="2"/>
  <c r="AM55" i="2"/>
  <c r="AK55" i="2"/>
  <c r="AI55" i="2"/>
  <c r="AG55" i="2"/>
  <c r="AE55" i="2"/>
  <c r="AC55" i="2"/>
  <c r="AA55" i="2"/>
  <c r="Y55" i="2"/>
  <c r="W55" i="2"/>
  <c r="U55" i="2"/>
  <c r="S55" i="2"/>
  <c r="BI54" i="2"/>
  <c r="BG54" i="2"/>
  <c r="BE54" i="2"/>
  <c r="BC54" i="2"/>
  <c r="BA54" i="2"/>
  <c r="AY54" i="2"/>
  <c r="AW54" i="2"/>
  <c r="AU54" i="2"/>
  <c r="AS54" i="2"/>
  <c r="AQ54" i="2"/>
  <c r="AO54" i="2"/>
  <c r="AM54" i="2"/>
  <c r="AK54" i="2"/>
  <c r="AI54" i="2"/>
  <c r="AG54" i="2"/>
  <c r="AE54" i="2"/>
  <c r="AC54" i="2"/>
  <c r="AA54" i="2"/>
  <c r="Y54" i="2"/>
  <c r="W54" i="2"/>
  <c r="U54" i="2"/>
  <c r="S54" i="2"/>
  <c r="BI53" i="2"/>
  <c r="BG53" i="2"/>
  <c r="BE53" i="2"/>
  <c r="BC53" i="2"/>
  <c r="BA53" i="2"/>
  <c r="AY53" i="2"/>
  <c r="AW53" i="2"/>
  <c r="AU53" i="2"/>
  <c r="AS53" i="2"/>
  <c r="AQ53" i="2"/>
  <c r="AO53" i="2"/>
  <c r="AM53" i="2"/>
  <c r="AK53" i="2"/>
  <c r="AI53" i="2"/>
  <c r="AG53" i="2"/>
  <c r="AE53" i="2"/>
  <c r="AC53" i="2"/>
  <c r="AA53" i="2"/>
  <c r="Y53" i="2"/>
  <c r="W53" i="2"/>
  <c r="U53" i="2"/>
  <c r="S53" i="2"/>
  <c r="BI52" i="2"/>
  <c r="BG52" i="2"/>
  <c r="BE52" i="2"/>
  <c r="BC52" i="2"/>
  <c r="BA52" i="2"/>
  <c r="AY52" i="2"/>
  <c r="AW52" i="2"/>
  <c r="AU52" i="2"/>
  <c r="AS52" i="2"/>
  <c r="AQ52" i="2"/>
  <c r="AO52" i="2"/>
  <c r="AM52" i="2"/>
  <c r="AK52" i="2"/>
  <c r="AI52" i="2"/>
  <c r="AG52" i="2"/>
  <c r="AE52" i="2"/>
  <c r="AC52" i="2"/>
  <c r="AA52" i="2"/>
  <c r="Y52" i="2"/>
  <c r="W52" i="2"/>
  <c r="U52" i="2"/>
  <c r="S52" i="2"/>
  <c r="BI51" i="2"/>
  <c r="BG51" i="2"/>
  <c r="BE51" i="2"/>
  <c r="BC51" i="2"/>
  <c r="BA51" i="2"/>
  <c r="AY51" i="2"/>
  <c r="AW51" i="2"/>
  <c r="AU51" i="2"/>
  <c r="AS51" i="2"/>
  <c r="AQ51" i="2"/>
  <c r="AO51" i="2"/>
  <c r="AM51" i="2"/>
  <c r="AK51" i="2"/>
  <c r="AI51" i="2"/>
  <c r="AG51" i="2"/>
  <c r="AE51" i="2"/>
  <c r="AC51" i="2"/>
  <c r="AA51" i="2"/>
  <c r="Y51" i="2"/>
  <c r="W51" i="2"/>
  <c r="U51" i="2"/>
  <c r="S51" i="2"/>
  <c r="BI50" i="2"/>
  <c r="BG50" i="2"/>
  <c r="BE50" i="2"/>
  <c r="BC50" i="2"/>
  <c r="BA50" i="2"/>
  <c r="AY50" i="2"/>
  <c r="AW50" i="2"/>
  <c r="AU50" i="2"/>
  <c r="AS50" i="2"/>
  <c r="AQ50" i="2"/>
  <c r="AO50" i="2"/>
  <c r="AM50" i="2"/>
  <c r="AK50" i="2"/>
  <c r="AI50" i="2"/>
  <c r="AG50" i="2"/>
  <c r="AE50" i="2"/>
  <c r="AC50" i="2"/>
  <c r="AA50" i="2"/>
  <c r="Y50" i="2"/>
  <c r="W50" i="2"/>
  <c r="U50" i="2"/>
  <c r="S50" i="2"/>
  <c r="BI49" i="2"/>
  <c r="BG49" i="2"/>
  <c r="BE49" i="2"/>
  <c r="BC49" i="2"/>
  <c r="BA49" i="2"/>
  <c r="AY49" i="2"/>
  <c r="AW49" i="2"/>
  <c r="AU49" i="2"/>
  <c r="AS49" i="2"/>
  <c r="AQ49" i="2"/>
  <c r="AO49" i="2"/>
  <c r="AM49" i="2"/>
  <c r="AK49" i="2"/>
  <c r="AI49" i="2"/>
  <c r="AG49" i="2"/>
  <c r="AE49" i="2"/>
  <c r="AC49" i="2"/>
  <c r="AA49" i="2"/>
  <c r="Y49" i="2"/>
  <c r="W49" i="2"/>
  <c r="U49" i="2"/>
  <c r="S49" i="2"/>
  <c r="BI48" i="2"/>
  <c r="BG48" i="2"/>
  <c r="BE48" i="2"/>
  <c r="BC48" i="2"/>
  <c r="BA48" i="2"/>
  <c r="AY48" i="2"/>
  <c r="AW48" i="2"/>
  <c r="AU48" i="2"/>
  <c r="AS48" i="2"/>
  <c r="AQ48" i="2"/>
  <c r="AO48" i="2"/>
  <c r="AM48" i="2"/>
  <c r="AK48" i="2"/>
  <c r="AI48" i="2"/>
  <c r="AG48" i="2"/>
  <c r="AE48" i="2"/>
  <c r="AC48" i="2"/>
  <c r="AA48" i="2"/>
  <c r="Y48" i="2"/>
  <c r="W48" i="2"/>
  <c r="U48" i="2"/>
  <c r="S48" i="2"/>
  <c r="BI47" i="2"/>
  <c r="BG47" i="2"/>
  <c r="BE47" i="2"/>
  <c r="BC47" i="2"/>
  <c r="BA47" i="2"/>
  <c r="AY47" i="2"/>
  <c r="AW47" i="2"/>
  <c r="AU47" i="2"/>
  <c r="AS47" i="2"/>
  <c r="AQ47" i="2"/>
  <c r="AO47" i="2"/>
  <c r="AM47" i="2"/>
  <c r="AK47" i="2"/>
  <c r="AI47" i="2"/>
  <c r="AG47" i="2"/>
  <c r="AE47" i="2"/>
  <c r="AC47" i="2"/>
  <c r="AA47" i="2"/>
  <c r="Y47" i="2"/>
  <c r="W47" i="2"/>
  <c r="U47" i="2"/>
  <c r="S47" i="2"/>
  <c r="BI45" i="2"/>
  <c r="D124" i="4" s="1"/>
  <c r="BG45" i="2"/>
  <c r="B109" i="4" s="1"/>
  <c r="F124" i="4" s="1"/>
  <c r="BE45" i="2"/>
  <c r="BC45" i="2"/>
  <c r="BA45" i="2"/>
  <c r="B94" i="4" s="1"/>
  <c r="D109" i="4" s="1"/>
  <c r="AY45" i="2"/>
  <c r="AW45" i="2"/>
  <c r="AU45" i="2"/>
  <c r="B80" i="4" s="1"/>
  <c r="D94" i="4" s="1"/>
  <c r="AS45" i="2"/>
  <c r="AQ45" i="2"/>
  <c r="AO45" i="2"/>
  <c r="B66" i="4" s="1"/>
  <c r="D80" i="4" s="1"/>
  <c r="AM45" i="2"/>
  <c r="AK45" i="2"/>
  <c r="AI45" i="2"/>
  <c r="B52" i="4" s="1"/>
  <c r="D66" i="4" s="1"/>
  <c r="AG45" i="2"/>
  <c r="AE45" i="2"/>
  <c r="AC45" i="2"/>
  <c r="B38" i="4" s="1"/>
  <c r="D52" i="4" s="1"/>
  <c r="AA45" i="2"/>
  <c r="B23" i="4" s="1"/>
  <c r="D38" i="4" s="1"/>
  <c r="Y45" i="2"/>
  <c r="D23" i="4" s="1"/>
  <c r="W45" i="2"/>
  <c r="B8" i="4" s="1"/>
  <c r="F23" i="4" s="1"/>
  <c r="U45" i="2"/>
  <c r="D8" i="4" s="1"/>
  <c r="S45" i="2"/>
  <c r="F8" i="4" s="1"/>
  <c r="C124" i="4" s="1"/>
  <c r="BF43" i="2"/>
  <c r="Q43" i="2"/>
  <c r="O43" i="2"/>
  <c r="N43" i="2"/>
  <c r="M43" i="2"/>
  <c r="L43" i="2"/>
  <c r="L60" i="2" s="1"/>
  <c r="K43" i="2"/>
  <c r="J43" i="2"/>
  <c r="I43" i="2"/>
  <c r="H43" i="2"/>
  <c r="H60" i="2" s="1"/>
  <c r="G43" i="2"/>
  <c r="F43" i="2"/>
  <c r="E43" i="2"/>
  <c r="BI42" i="2"/>
  <c r="BG42" i="2"/>
  <c r="BE42" i="2"/>
  <c r="BC42" i="2"/>
  <c r="BA42" i="2"/>
  <c r="AY42" i="2"/>
  <c r="AW42" i="2"/>
  <c r="AU42" i="2"/>
  <c r="AS42" i="2"/>
  <c r="AQ42" i="2"/>
  <c r="AO42" i="2"/>
  <c r="AM42" i="2"/>
  <c r="AK42" i="2"/>
  <c r="AI42" i="2"/>
  <c r="AG42" i="2"/>
  <c r="AE42" i="2"/>
  <c r="AC42" i="2"/>
  <c r="AA42" i="2"/>
  <c r="Y42" i="2"/>
  <c r="W42" i="2"/>
  <c r="U42" i="2"/>
  <c r="S42" i="2"/>
  <c r="BI41" i="2"/>
  <c r="BG41" i="2"/>
  <c r="BE41" i="2"/>
  <c r="BC41" i="2"/>
  <c r="BA41" i="2"/>
  <c r="AY41" i="2"/>
  <c r="AW41" i="2"/>
  <c r="AU41" i="2"/>
  <c r="AS41" i="2"/>
  <c r="AQ41" i="2"/>
  <c r="AO41" i="2"/>
  <c r="AM41" i="2"/>
  <c r="AK41" i="2"/>
  <c r="AI41" i="2"/>
  <c r="AG41" i="2"/>
  <c r="AE41" i="2"/>
  <c r="AC41" i="2"/>
  <c r="AA41" i="2"/>
  <c r="Y41" i="2"/>
  <c r="W41" i="2"/>
  <c r="U41" i="2"/>
  <c r="S41" i="2"/>
  <c r="BI40" i="2"/>
  <c r="BG40" i="2"/>
  <c r="BE40" i="2"/>
  <c r="BC40" i="2"/>
  <c r="BA40" i="2"/>
  <c r="AY40" i="2"/>
  <c r="AW40" i="2"/>
  <c r="AU40" i="2"/>
  <c r="AS40" i="2"/>
  <c r="AQ40" i="2"/>
  <c r="AO40" i="2"/>
  <c r="AM40" i="2"/>
  <c r="AK40" i="2"/>
  <c r="AI40" i="2"/>
  <c r="AG40" i="2"/>
  <c r="AE40" i="2"/>
  <c r="AC40" i="2"/>
  <c r="AA40" i="2"/>
  <c r="Y40" i="2"/>
  <c r="W40" i="2"/>
  <c r="U40" i="2"/>
  <c r="S40" i="2"/>
  <c r="BI39" i="2"/>
  <c r="BG39" i="2"/>
  <c r="BE39" i="2"/>
  <c r="BC39" i="2"/>
  <c r="BA39" i="2"/>
  <c r="AY39" i="2"/>
  <c r="AW39" i="2"/>
  <c r="AU39" i="2"/>
  <c r="AS39" i="2"/>
  <c r="AQ39" i="2"/>
  <c r="AO39" i="2"/>
  <c r="AM39" i="2"/>
  <c r="AK39" i="2"/>
  <c r="AI39" i="2"/>
  <c r="AG39" i="2"/>
  <c r="AE39" i="2"/>
  <c r="AC39" i="2"/>
  <c r="AA39" i="2"/>
  <c r="Y39" i="2"/>
  <c r="W39" i="2"/>
  <c r="U39" i="2"/>
  <c r="S39" i="2"/>
  <c r="BI38" i="2"/>
  <c r="BG38" i="2"/>
  <c r="BE38" i="2"/>
  <c r="BC38" i="2"/>
  <c r="BA38" i="2"/>
  <c r="AY38" i="2"/>
  <c r="AW38" i="2"/>
  <c r="AU38" i="2"/>
  <c r="AS38" i="2"/>
  <c r="AQ38" i="2"/>
  <c r="AO38" i="2"/>
  <c r="AM38" i="2"/>
  <c r="AK38" i="2"/>
  <c r="AI38" i="2"/>
  <c r="AG38" i="2"/>
  <c r="AE38" i="2"/>
  <c r="AC38" i="2"/>
  <c r="AA38" i="2"/>
  <c r="Y38" i="2"/>
  <c r="W38" i="2"/>
  <c r="U38" i="2"/>
  <c r="S38" i="2"/>
  <c r="BI37" i="2"/>
  <c r="BG37" i="2"/>
  <c r="BE37" i="2"/>
  <c r="BC37" i="2"/>
  <c r="BA37" i="2"/>
  <c r="AY37" i="2"/>
  <c r="AW37" i="2"/>
  <c r="AU37" i="2"/>
  <c r="AS37" i="2"/>
  <c r="AQ37" i="2"/>
  <c r="AO37" i="2"/>
  <c r="AM37" i="2"/>
  <c r="AK37" i="2"/>
  <c r="AI37" i="2"/>
  <c r="AG37" i="2"/>
  <c r="AE37" i="2"/>
  <c r="AC37" i="2"/>
  <c r="AA37" i="2"/>
  <c r="Y37" i="2"/>
  <c r="W37" i="2"/>
  <c r="U37" i="2"/>
  <c r="S37" i="2"/>
  <c r="BI36" i="2"/>
  <c r="BG36" i="2"/>
  <c r="BE36" i="2"/>
  <c r="BC36" i="2"/>
  <c r="BA36" i="2"/>
  <c r="AY36" i="2"/>
  <c r="AW36" i="2"/>
  <c r="AU36" i="2"/>
  <c r="AS36" i="2"/>
  <c r="AQ36" i="2"/>
  <c r="AO36" i="2"/>
  <c r="AM36" i="2"/>
  <c r="AK36" i="2"/>
  <c r="AI36" i="2"/>
  <c r="AG36" i="2"/>
  <c r="AE36" i="2"/>
  <c r="AC36" i="2"/>
  <c r="AA36" i="2"/>
  <c r="Y36" i="2"/>
  <c r="W36" i="2"/>
  <c r="U36" i="2"/>
  <c r="S36" i="2"/>
  <c r="BI35" i="2"/>
  <c r="BG35" i="2"/>
  <c r="BE35" i="2"/>
  <c r="BC35" i="2"/>
  <c r="BA35" i="2"/>
  <c r="AY35" i="2"/>
  <c r="AW35" i="2"/>
  <c r="AU35" i="2"/>
  <c r="AS35" i="2"/>
  <c r="AQ35" i="2"/>
  <c r="AO35" i="2"/>
  <c r="AM35" i="2"/>
  <c r="AK35" i="2"/>
  <c r="AI35" i="2"/>
  <c r="AG35" i="2"/>
  <c r="AE35" i="2"/>
  <c r="AC35" i="2"/>
  <c r="AA35" i="2"/>
  <c r="Y35" i="2"/>
  <c r="W35" i="2"/>
  <c r="U35" i="2"/>
  <c r="S35" i="2"/>
  <c r="BI34" i="2"/>
  <c r="BG34" i="2"/>
  <c r="BE34" i="2"/>
  <c r="BC34" i="2"/>
  <c r="BA34" i="2"/>
  <c r="AY34" i="2"/>
  <c r="AW34" i="2"/>
  <c r="AU34" i="2"/>
  <c r="AS34" i="2"/>
  <c r="AQ34" i="2"/>
  <c r="AO34" i="2"/>
  <c r="AM34" i="2"/>
  <c r="AK34" i="2"/>
  <c r="AI34" i="2"/>
  <c r="AG34" i="2"/>
  <c r="AE34" i="2"/>
  <c r="AC34" i="2"/>
  <c r="AA34" i="2"/>
  <c r="Y34" i="2"/>
  <c r="W34" i="2"/>
  <c r="U34" i="2"/>
  <c r="S34" i="2"/>
  <c r="BI33" i="2"/>
  <c r="BG33" i="2"/>
  <c r="BE33" i="2"/>
  <c r="BC33" i="2"/>
  <c r="BA33" i="2"/>
  <c r="AY33" i="2"/>
  <c r="AW33" i="2"/>
  <c r="AU33" i="2"/>
  <c r="AS33" i="2"/>
  <c r="AQ33" i="2"/>
  <c r="AO33" i="2"/>
  <c r="AM33" i="2"/>
  <c r="AK33" i="2"/>
  <c r="AI33" i="2"/>
  <c r="AG33" i="2"/>
  <c r="AE33" i="2"/>
  <c r="AC33" i="2"/>
  <c r="AA33" i="2"/>
  <c r="Y33" i="2"/>
  <c r="W33" i="2"/>
  <c r="U33" i="2"/>
  <c r="S33" i="2"/>
  <c r="BF31" i="2"/>
  <c r="BG31" i="2" s="1"/>
  <c r="B108" i="4" s="1"/>
  <c r="F123" i="4" s="1"/>
  <c r="BC31" i="2"/>
  <c r="AU31" i="2"/>
  <c r="B79" i="4" s="1"/>
  <c r="D93" i="4" s="1"/>
  <c r="AM31" i="2"/>
  <c r="AE31" i="2"/>
  <c r="W31" i="2"/>
  <c r="B7" i="4" s="1"/>
  <c r="F22" i="4" s="1"/>
  <c r="Q31" i="2"/>
  <c r="BA31" i="2" s="1"/>
  <c r="B93" i="4" s="1"/>
  <c r="D108" i="4" s="1"/>
  <c r="O31" i="2"/>
  <c r="N31" i="2"/>
  <c r="M31" i="2"/>
  <c r="L31" i="2"/>
  <c r="K31" i="2"/>
  <c r="J31" i="2"/>
  <c r="I31" i="2"/>
  <c r="H31" i="2"/>
  <c r="G31" i="2"/>
  <c r="F31" i="2"/>
  <c r="E31" i="2"/>
  <c r="BI30" i="2"/>
  <c r="BG30" i="2"/>
  <c r="BE30" i="2"/>
  <c r="BC30" i="2"/>
  <c r="BA30" i="2"/>
  <c r="AY30" i="2"/>
  <c r="AW30" i="2"/>
  <c r="AU30" i="2"/>
  <c r="AS30" i="2"/>
  <c r="AQ30" i="2"/>
  <c r="AO30" i="2"/>
  <c r="AM30" i="2"/>
  <c r="AK30" i="2"/>
  <c r="AI30" i="2"/>
  <c r="AG30" i="2"/>
  <c r="AE30" i="2"/>
  <c r="AC30" i="2"/>
  <c r="AA30" i="2"/>
  <c r="Y30" i="2"/>
  <c r="W30" i="2"/>
  <c r="U30" i="2"/>
  <c r="S30" i="2"/>
  <c r="BI29" i="2"/>
  <c r="BG29" i="2"/>
  <c r="BE29" i="2"/>
  <c r="BC29" i="2"/>
  <c r="BA29" i="2"/>
  <c r="AY29" i="2"/>
  <c r="AW29" i="2"/>
  <c r="AU29" i="2"/>
  <c r="AS29" i="2"/>
  <c r="AQ29" i="2"/>
  <c r="AO29" i="2"/>
  <c r="AM29" i="2"/>
  <c r="AK29" i="2"/>
  <c r="AI29" i="2"/>
  <c r="AG29" i="2"/>
  <c r="AE29" i="2"/>
  <c r="AC29" i="2"/>
  <c r="AA29" i="2"/>
  <c r="Y29" i="2"/>
  <c r="W29" i="2"/>
  <c r="U29" i="2"/>
  <c r="S29" i="2"/>
  <c r="BI28" i="2"/>
  <c r="BG28" i="2"/>
  <c r="BE28" i="2"/>
  <c r="BC28" i="2"/>
  <c r="BA28" i="2"/>
  <c r="AY28" i="2"/>
  <c r="AW28" i="2"/>
  <c r="AU28" i="2"/>
  <c r="AS28" i="2"/>
  <c r="AQ28" i="2"/>
  <c r="AO28" i="2"/>
  <c r="AM28" i="2"/>
  <c r="AK28" i="2"/>
  <c r="AI28" i="2"/>
  <c r="AG28" i="2"/>
  <c r="AE28" i="2"/>
  <c r="AC28" i="2"/>
  <c r="AA28" i="2"/>
  <c r="Y28" i="2"/>
  <c r="W28" i="2"/>
  <c r="U28" i="2"/>
  <c r="S28" i="2"/>
  <c r="BI27" i="2"/>
  <c r="BG27" i="2"/>
  <c r="BE27" i="2"/>
  <c r="BC27" i="2"/>
  <c r="BA27" i="2"/>
  <c r="AY27" i="2"/>
  <c r="AW27" i="2"/>
  <c r="AU27" i="2"/>
  <c r="AS27" i="2"/>
  <c r="AQ27" i="2"/>
  <c r="AO27" i="2"/>
  <c r="AM27" i="2"/>
  <c r="AK27" i="2"/>
  <c r="AI27" i="2"/>
  <c r="AG27" i="2"/>
  <c r="AE27" i="2"/>
  <c r="AC27" i="2"/>
  <c r="AA27" i="2"/>
  <c r="Y27" i="2"/>
  <c r="W27" i="2"/>
  <c r="U27" i="2"/>
  <c r="S27" i="2"/>
  <c r="BI26" i="2"/>
  <c r="BG26" i="2"/>
  <c r="BE26" i="2"/>
  <c r="BC26" i="2"/>
  <c r="BA26" i="2"/>
  <c r="AY26" i="2"/>
  <c r="AW26" i="2"/>
  <c r="AU26" i="2"/>
  <c r="AS26" i="2"/>
  <c r="AQ26" i="2"/>
  <c r="AO26" i="2"/>
  <c r="AM26" i="2"/>
  <c r="AK26" i="2"/>
  <c r="AI26" i="2"/>
  <c r="AG26" i="2"/>
  <c r="AE26" i="2"/>
  <c r="AC26" i="2"/>
  <c r="AA26" i="2"/>
  <c r="Y26" i="2"/>
  <c r="W26" i="2"/>
  <c r="U26" i="2"/>
  <c r="S26" i="2"/>
  <c r="BI25" i="2"/>
  <c r="BG25" i="2"/>
  <c r="BE25" i="2"/>
  <c r="BC25" i="2"/>
  <c r="BA25" i="2"/>
  <c r="AY25" i="2"/>
  <c r="AW25" i="2"/>
  <c r="AU25" i="2"/>
  <c r="AS25" i="2"/>
  <c r="AQ25" i="2"/>
  <c r="AO25" i="2"/>
  <c r="AM25" i="2"/>
  <c r="AK25" i="2"/>
  <c r="AI25" i="2"/>
  <c r="AG25" i="2"/>
  <c r="AE25" i="2"/>
  <c r="AC25" i="2"/>
  <c r="AA25" i="2"/>
  <c r="Y25" i="2"/>
  <c r="W25" i="2"/>
  <c r="U25" i="2"/>
  <c r="S25" i="2"/>
  <c r="BI24" i="2"/>
  <c r="BG24" i="2"/>
  <c r="BE24" i="2"/>
  <c r="BC24" i="2"/>
  <c r="BA24" i="2"/>
  <c r="AY24" i="2"/>
  <c r="AW24" i="2"/>
  <c r="AU24" i="2"/>
  <c r="AS24" i="2"/>
  <c r="AQ24" i="2"/>
  <c r="AO24" i="2"/>
  <c r="AM24" i="2"/>
  <c r="AK24" i="2"/>
  <c r="AI24" i="2"/>
  <c r="AG24" i="2"/>
  <c r="AE24" i="2"/>
  <c r="AC24" i="2"/>
  <c r="AA24" i="2"/>
  <c r="Y24" i="2"/>
  <c r="W24" i="2"/>
  <c r="U24" i="2"/>
  <c r="S24" i="2"/>
  <c r="BI23" i="2"/>
  <c r="BG23" i="2"/>
  <c r="BE23" i="2"/>
  <c r="BC23" i="2"/>
  <c r="BA23" i="2"/>
  <c r="AY23" i="2"/>
  <c r="AW23" i="2"/>
  <c r="AU23" i="2"/>
  <c r="AS23" i="2"/>
  <c r="AQ23" i="2"/>
  <c r="AO23" i="2"/>
  <c r="AM23" i="2"/>
  <c r="AK23" i="2"/>
  <c r="AI23" i="2"/>
  <c r="AG23" i="2"/>
  <c r="AE23" i="2"/>
  <c r="AC23" i="2"/>
  <c r="AA23" i="2"/>
  <c r="Y23" i="2"/>
  <c r="W23" i="2"/>
  <c r="U23" i="2"/>
  <c r="S23" i="2"/>
  <c r="BI22" i="2"/>
  <c r="BG22" i="2"/>
  <c r="BE22" i="2"/>
  <c r="BC22" i="2"/>
  <c r="BA22" i="2"/>
  <c r="AY22" i="2"/>
  <c r="AW22" i="2"/>
  <c r="AU22" i="2"/>
  <c r="AS22" i="2"/>
  <c r="AQ22" i="2"/>
  <c r="AO22" i="2"/>
  <c r="AM22" i="2"/>
  <c r="AK22" i="2"/>
  <c r="AI22" i="2"/>
  <c r="AG22" i="2"/>
  <c r="AE22" i="2"/>
  <c r="AC22" i="2"/>
  <c r="AA22" i="2"/>
  <c r="Y22" i="2"/>
  <c r="W22" i="2"/>
  <c r="U22" i="2"/>
  <c r="S22" i="2"/>
  <c r="BI21" i="2"/>
  <c r="BG21" i="2"/>
  <c r="BE21" i="2"/>
  <c r="BC21" i="2"/>
  <c r="BA21" i="2"/>
  <c r="AY21" i="2"/>
  <c r="AW21" i="2"/>
  <c r="AU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BI20" i="2"/>
  <c r="BG20" i="2"/>
  <c r="BE20" i="2"/>
  <c r="BC20" i="2"/>
  <c r="BA20" i="2"/>
  <c r="AY20" i="2"/>
  <c r="AW20" i="2"/>
  <c r="AU20" i="2"/>
  <c r="AS20" i="2"/>
  <c r="AQ20" i="2"/>
  <c r="AO20" i="2"/>
  <c r="AM20" i="2"/>
  <c r="AK20" i="2"/>
  <c r="AI20" i="2"/>
  <c r="AG20" i="2"/>
  <c r="AE20" i="2"/>
  <c r="AC20" i="2"/>
  <c r="AA20" i="2"/>
  <c r="Y20" i="2"/>
  <c r="W20" i="2"/>
  <c r="U20" i="2"/>
  <c r="S20" i="2"/>
  <c r="BI18" i="2"/>
  <c r="D122" i="4" s="1"/>
  <c r="BG18" i="2"/>
  <c r="B107" i="4" s="1"/>
  <c r="F122" i="4" s="1"/>
  <c r="BE18" i="2"/>
  <c r="BC18" i="2"/>
  <c r="BA18" i="2"/>
  <c r="B92" i="4" s="1"/>
  <c r="D107" i="4" s="1"/>
  <c r="AY18" i="2"/>
  <c r="AW18" i="2"/>
  <c r="AU18" i="2"/>
  <c r="B78" i="4" s="1"/>
  <c r="D92" i="4" s="1"/>
  <c r="AS18" i="2"/>
  <c r="AQ18" i="2"/>
  <c r="AO18" i="2"/>
  <c r="B64" i="4" s="1"/>
  <c r="D78" i="4" s="1"/>
  <c r="AM18" i="2"/>
  <c r="AK18" i="2"/>
  <c r="AI18" i="2"/>
  <c r="B50" i="4" s="1"/>
  <c r="D64" i="4" s="1"/>
  <c r="AG18" i="2"/>
  <c r="AC18" i="2"/>
  <c r="B36" i="4" s="1"/>
  <c r="D50" i="4" s="1"/>
  <c r="AA18" i="2"/>
  <c r="B21" i="4" s="1"/>
  <c r="D36" i="4" s="1"/>
  <c r="Y18" i="2"/>
  <c r="D21" i="4" s="1"/>
  <c r="W18" i="2"/>
  <c r="B6" i="4" s="1"/>
  <c r="F21" i="4" s="1"/>
  <c r="U18" i="2"/>
  <c r="D6" i="4" s="1"/>
  <c r="S18" i="2"/>
  <c r="F6" i="4" s="1"/>
  <c r="C122" i="4" s="1"/>
  <c r="BI16" i="2"/>
  <c r="D121" i="4" s="1"/>
  <c r="BF16" i="2"/>
  <c r="BG16" i="2" s="1"/>
  <c r="B106" i="4" s="1"/>
  <c r="F121" i="4" s="1"/>
  <c r="BE16" i="2"/>
  <c r="BC16" i="2"/>
  <c r="BA16" i="2"/>
  <c r="B91" i="4" s="1"/>
  <c r="D106" i="4" s="1"/>
  <c r="AY16" i="2"/>
  <c r="AW16" i="2"/>
  <c r="AU16" i="2"/>
  <c r="B77" i="4" s="1"/>
  <c r="D91" i="4" s="1"/>
  <c r="AS16" i="2"/>
  <c r="AQ16" i="2"/>
  <c r="AO16" i="2"/>
  <c r="B63" i="4" s="1"/>
  <c r="D77" i="4" s="1"/>
  <c r="AM16" i="2"/>
  <c r="AK16" i="2"/>
  <c r="AI16" i="2"/>
  <c r="B49" i="4" s="1"/>
  <c r="D63" i="4" s="1"/>
  <c r="AG16" i="2"/>
  <c r="AE16" i="2"/>
  <c r="AC16" i="2"/>
  <c r="B35" i="4" s="1"/>
  <c r="D49" i="4" s="1"/>
  <c r="AA16" i="2"/>
  <c r="B20" i="4" s="1"/>
  <c r="D35" i="4" s="1"/>
  <c r="Y16" i="2"/>
  <c r="D20" i="4" s="1"/>
  <c r="W16" i="2"/>
  <c r="B5" i="4" s="1"/>
  <c r="F20" i="4" s="1"/>
  <c r="U16" i="2"/>
  <c r="D5" i="4" s="1"/>
  <c r="S16" i="2"/>
  <c r="F5" i="4" s="1"/>
  <c r="C121" i="4" s="1"/>
  <c r="BF14" i="2"/>
  <c r="BG14" i="2" s="1"/>
  <c r="B105" i="4" s="1"/>
  <c r="F120" i="4" s="1"/>
  <c r="AO14" i="2"/>
  <c r="B62" i="4" s="1"/>
  <c r="D76" i="4" s="1"/>
  <c r="AG14" i="2"/>
  <c r="Q14" i="2"/>
  <c r="O14" i="2"/>
  <c r="N14" i="2"/>
  <c r="M14" i="2"/>
  <c r="L14" i="2"/>
  <c r="K14" i="2"/>
  <c r="J14" i="2"/>
  <c r="I14" i="2"/>
  <c r="H14" i="2"/>
  <c r="G14" i="2"/>
  <c r="F14" i="2"/>
  <c r="E14" i="2"/>
  <c r="BI13" i="2"/>
  <c r="BG13" i="2"/>
  <c r="BE13" i="2"/>
  <c r="BC13" i="2"/>
  <c r="BA13" i="2"/>
  <c r="AY13" i="2"/>
  <c r="AW13" i="2"/>
  <c r="AU13" i="2"/>
  <c r="AS13" i="2"/>
  <c r="AQ13" i="2"/>
  <c r="AO13" i="2"/>
  <c r="AM13" i="2"/>
  <c r="AK13" i="2"/>
  <c r="AI13" i="2"/>
  <c r="AG13" i="2"/>
  <c r="AE13" i="2"/>
  <c r="AC13" i="2"/>
  <c r="AA13" i="2"/>
  <c r="Y13" i="2"/>
  <c r="W13" i="2"/>
  <c r="U13" i="2"/>
  <c r="S13" i="2"/>
  <c r="BI12" i="2"/>
  <c r="BG12" i="2"/>
  <c r="BE12" i="2"/>
  <c r="BC12" i="2"/>
  <c r="BA12" i="2"/>
  <c r="AY12" i="2"/>
  <c r="AW12" i="2"/>
  <c r="AU12" i="2"/>
  <c r="AS12" i="2"/>
  <c r="AQ12" i="2"/>
  <c r="AO12" i="2"/>
  <c r="AM12" i="2"/>
  <c r="AK12" i="2"/>
  <c r="AI12" i="2"/>
  <c r="AG12" i="2"/>
  <c r="AE12" i="2"/>
  <c r="AC12" i="2"/>
  <c r="AA12" i="2"/>
  <c r="Y12" i="2"/>
  <c r="W12" i="2"/>
  <c r="U12" i="2"/>
  <c r="S12" i="2"/>
  <c r="BI11" i="2"/>
  <c r="BG11" i="2"/>
  <c r="BE11" i="2"/>
  <c r="BC11" i="2"/>
  <c r="BA11" i="2"/>
  <c r="AY11" i="2"/>
  <c r="AW11" i="2"/>
  <c r="AU11" i="2"/>
  <c r="AS11" i="2"/>
  <c r="AQ11" i="2"/>
  <c r="AO11" i="2"/>
  <c r="AM11" i="2"/>
  <c r="AK11" i="2"/>
  <c r="AI11" i="2"/>
  <c r="AG11" i="2"/>
  <c r="AE11" i="2"/>
  <c r="AC11" i="2"/>
  <c r="AA11" i="2"/>
  <c r="Y11" i="2"/>
  <c r="W11" i="2"/>
  <c r="U11" i="2"/>
  <c r="S11" i="2"/>
  <c r="BI10" i="2"/>
  <c r="BG10" i="2"/>
  <c r="BE10" i="2"/>
  <c r="BC10" i="2"/>
  <c r="BA10" i="2"/>
  <c r="AY10" i="2"/>
  <c r="AW10" i="2"/>
  <c r="AU10" i="2"/>
  <c r="AS10" i="2"/>
  <c r="AQ10" i="2"/>
  <c r="AO10" i="2"/>
  <c r="AM10" i="2"/>
  <c r="AK10" i="2"/>
  <c r="AI10" i="2"/>
  <c r="AG10" i="2"/>
  <c r="AE10" i="2"/>
  <c r="AC10" i="2"/>
  <c r="AA10" i="2"/>
  <c r="Y10" i="2"/>
  <c r="W10" i="2"/>
  <c r="U10" i="2"/>
  <c r="S10" i="2"/>
  <c r="BI9" i="2"/>
  <c r="BG9" i="2"/>
  <c r="BE9" i="2"/>
  <c r="BC9" i="2"/>
  <c r="BA9" i="2"/>
  <c r="AY9" i="2"/>
  <c r="AW9" i="2"/>
  <c r="AU9" i="2"/>
  <c r="AS9" i="2"/>
  <c r="AQ9" i="2"/>
  <c r="AO9" i="2"/>
  <c r="AM9" i="2"/>
  <c r="AK9" i="2"/>
  <c r="AI9" i="2"/>
  <c r="AG9" i="2"/>
  <c r="AE9" i="2"/>
  <c r="AC9" i="2"/>
  <c r="AA9" i="2"/>
  <c r="Y9" i="2"/>
  <c r="W9" i="2"/>
  <c r="U9" i="2"/>
  <c r="S9" i="2"/>
  <c r="BI8" i="2"/>
  <c r="BG8" i="2"/>
  <c r="BE8" i="2"/>
  <c r="BC8" i="2"/>
  <c r="BA8" i="2"/>
  <c r="AY8" i="2"/>
  <c r="AW8" i="2"/>
  <c r="AU8" i="2"/>
  <c r="AS8" i="2"/>
  <c r="AQ8" i="2"/>
  <c r="AO8" i="2"/>
  <c r="AM8" i="2"/>
  <c r="AK8" i="2"/>
  <c r="AI8" i="2"/>
  <c r="AG8" i="2"/>
  <c r="AE8" i="2"/>
  <c r="AC8" i="2"/>
  <c r="AA8" i="2"/>
  <c r="Y8" i="2"/>
  <c r="W8" i="2"/>
  <c r="U8" i="2"/>
  <c r="S8" i="2"/>
  <c r="BI7" i="2"/>
  <c r="BG7" i="2"/>
  <c r="BE7" i="2"/>
  <c r="BC7" i="2"/>
  <c r="BA7" i="2"/>
  <c r="AY7" i="2"/>
  <c r="AW7" i="2"/>
  <c r="AU7" i="2"/>
  <c r="AS7" i="2"/>
  <c r="AQ7" i="2"/>
  <c r="AO7" i="2"/>
  <c r="AM7" i="2"/>
  <c r="AK7" i="2"/>
  <c r="AI7" i="2"/>
  <c r="AG7" i="2"/>
  <c r="AE7" i="2"/>
  <c r="AC7" i="2"/>
  <c r="AA7" i="2"/>
  <c r="Y7" i="2"/>
  <c r="W7" i="2"/>
  <c r="U7" i="2"/>
  <c r="S7" i="2"/>
  <c r="BI6" i="2"/>
  <c r="BG6" i="2"/>
  <c r="BE6" i="2"/>
  <c r="BC6" i="2"/>
  <c r="BA6" i="2"/>
  <c r="AY6" i="2"/>
  <c r="AW6" i="2"/>
  <c r="AU6" i="2"/>
  <c r="AS6" i="2"/>
  <c r="AQ6" i="2"/>
  <c r="AO6" i="2"/>
  <c r="AM6" i="2"/>
  <c r="AK6" i="2"/>
  <c r="AI6" i="2"/>
  <c r="AG6" i="2"/>
  <c r="AE6" i="2"/>
  <c r="AC6" i="2"/>
  <c r="AA6" i="2"/>
  <c r="Y6" i="2"/>
  <c r="W6" i="2"/>
  <c r="U6" i="2"/>
  <c r="S6" i="2"/>
  <c r="BI5" i="2"/>
  <c r="BG5" i="2"/>
  <c r="BE5" i="2"/>
  <c r="BC5" i="2"/>
  <c r="BA5" i="2"/>
  <c r="AY5" i="2"/>
  <c r="AW5" i="2"/>
  <c r="AU5" i="2"/>
  <c r="AS5" i="2"/>
  <c r="AQ5" i="2"/>
  <c r="AO5" i="2"/>
  <c r="AM5" i="2"/>
  <c r="AK5" i="2"/>
  <c r="AI5" i="2"/>
  <c r="AG5" i="2"/>
  <c r="AE5" i="2"/>
  <c r="AC5" i="2"/>
  <c r="AA5" i="2"/>
  <c r="Y5" i="2"/>
  <c r="W5" i="2"/>
  <c r="U5" i="2"/>
  <c r="S5" i="2"/>
  <c r="BI4" i="2"/>
  <c r="BG4" i="2"/>
  <c r="BE4" i="2"/>
  <c r="BC4" i="2"/>
  <c r="BA4" i="2"/>
  <c r="AY4" i="2"/>
  <c r="AW4" i="2"/>
  <c r="AU4" i="2"/>
  <c r="AS4" i="2"/>
  <c r="AQ4" i="2"/>
  <c r="AO4" i="2"/>
  <c r="AM4" i="2"/>
  <c r="AK4" i="2"/>
  <c r="AI4" i="2"/>
  <c r="AG4" i="2"/>
  <c r="AE4" i="2"/>
  <c r="AC4" i="2"/>
  <c r="AA4" i="2"/>
  <c r="Y4" i="2"/>
  <c r="W4" i="2"/>
  <c r="U4" i="2"/>
  <c r="S4" i="2"/>
  <c r="BI3" i="2"/>
  <c r="BG3" i="2"/>
  <c r="BE3" i="2"/>
  <c r="BC3" i="2"/>
  <c r="BA3" i="2"/>
  <c r="AY3" i="2"/>
  <c r="AW3" i="2"/>
  <c r="AU3" i="2"/>
  <c r="AS3" i="2"/>
  <c r="AQ3" i="2"/>
  <c r="AO3" i="2"/>
  <c r="AM3" i="2"/>
  <c r="AK3" i="2"/>
  <c r="AI3" i="2"/>
  <c r="AG3" i="2"/>
  <c r="AE3" i="2"/>
  <c r="AC3" i="2"/>
  <c r="AA3" i="2"/>
  <c r="Y3" i="2"/>
  <c r="W3" i="2"/>
  <c r="U3" i="2"/>
  <c r="S3" i="2"/>
  <c r="BI2" i="2"/>
  <c r="BG2" i="2"/>
  <c r="BE2" i="2"/>
  <c r="BC2" i="2"/>
  <c r="BA2" i="2"/>
  <c r="AY2" i="2"/>
  <c r="AW2" i="2"/>
  <c r="AU2" i="2"/>
  <c r="AS2" i="2"/>
  <c r="AQ2" i="2"/>
  <c r="AO2" i="2"/>
  <c r="AM2" i="2"/>
  <c r="AK2" i="2"/>
  <c r="AI2" i="2"/>
  <c r="AG2" i="2"/>
  <c r="AE2" i="2"/>
  <c r="AC2" i="2"/>
  <c r="AA2" i="2"/>
  <c r="Y2" i="2"/>
  <c r="W2" i="2"/>
  <c r="U2" i="2"/>
  <c r="S2" i="2"/>
  <c r="BH60" i="2" l="1"/>
  <c r="AS9" i="3"/>
  <c r="BH61" i="2"/>
  <c r="BI31" i="2"/>
  <c r="D123" i="4" s="1"/>
  <c r="D126" i="4"/>
  <c r="K60" i="2"/>
  <c r="BG43" i="2"/>
  <c r="B110" i="4" s="1"/>
  <c r="F125" i="4" s="1"/>
  <c r="O60" i="2"/>
  <c r="BI14" i="2"/>
  <c r="D120" i="4" s="1"/>
  <c r="BC14" i="2"/>
  <c r="AU14" i="2"/>
  <c r="B76" i="4" s="1"/>
  <c r="D90" i="4" s="1"/>
  <c r="AM14" i="2"/>
  <c r="AE14" i="2"/>
  <c r="W14" i="2"/>
  <c r="B4" i="4" s="1"/>
  <c r="F19" i="4" s="1"/>
  <c r="BA14" i="2"/>
  <c r="B90" i="4" s="1"/>
  <c r="D105" i="4" s="1"/>
  <c r="AS14" i="2"/>
  <c r="AK14" i="2"/>
  <c r="AC14" i="2"/>
  <c r="B34" i="4" s="1"/>
  <c r="D48" i="4" s="1"/>
  <c r="S14" i="2"/>
  <c r="F4" i="4" s="1"/>
  <c r="C120" i="4" s="1"/>
  <c r="U14" i="2"/>
  <c r="D4" i="4" s="1"/>
  <c r="AQ14" i="2"/>
  <c r="AA14" i="2"/>
  <c r="B19" i="4" s="1"/>
  <c r="D34" i="4" s="1"/>
  <c r="AY14" i="2"/>
  <c r="AI14" i="2"/>
  <c r="B48" i="4" s="1"/>
  <c r="D62" i="4" s="1"/>
  <c r="AW14" i="2"/>
  <c r="BI43" i="2"/>
  <c r="D125" i="4" s="1"/>
  <c r="BC43" i="2"/>
  <c r="AU43" i="2"/>
  <c r="B81" i="4" s="1"/>
  <c r="D95" i="4" s="1"/>
  <c r="AM43" i="2"/>
  <c r="AE43" i="2"/>
  <c r="W43" i="2"/>
  <c r="B9" i="4" s="1"/>
  <c r="F24" i="4" s="1"/>
  <c r="AY43" i="2"/>
  <c r="AA43" i="2"/>
  <c r="B24" i="4" s="1"/>
  <c r="D39" i="4" s="1"/>
  <c r="BA43" i="2"/>
  <c r="B95" i="4" s="1"/>
  <c r="D110" i="4" s="1"/>
  <c r="AS43" i="2"/>
  <c r="AK43" i="2"/>
  <c r="AC43" i="2"/>
  <c r="B39" i="4" s="1"/>
  <c r="D53" i="4" s="1"/>
  <c r="U43" i="2"/>
  <c r="D9" i="4" s="1"/>
  <c r="AI43" i="2"/>
  <c r="B53" i="4" s="1"/>
  <c r="D67" i="4" s="1"/>
  <c r="S43" i="2"/>
  <c r="F9" i="4" s="1"/>
  <c r="C125" i="4" s="1"/>
  <c r="BE43" i="2"/>
  <c r="AW43" i="2"/>
  <c r="AO43" i="2"/>
  <c r="B67" i="4" s="1"/>
  <c r="D81" i="4" s="1"/>
  <c r="AG43" i="2"/>
  <c r="AQ43" i="2"/>
  <c r="Q60" i="2"/>
  <c r="Y43" i="2"/>
  <c r="D24" i="4" s="1"/>
  <c r="G60" i="2"/>
  <c r="Y14" i="2"/>
  <c r="D19" i="4" s="1"/>
  <c r="BE14" i="2"/>
  <c r="Y31" i="2"/>
  <c r="D22" i="4" s="1"/>
  <c r="BE31" i="2"/>
  <c r="BA66" i="2"/>
  <c r="AS66" i="2"/>
  <c r="AO66" i="2"/>
  <c r="E22" i="3"/>
  <c r="E23" i="3" s="1"/>
  <c r="AG31" i="2"/>
  <c r="AW31" i="2"/>
  <c r="BF60" i="2"/>
  <c r="AI66" i="2"/>
  <c r="AQ66" i="2"/>
  <c r="BC66" i="2"/>
  <c r="F22" i="3"/>
  <c r="F23" i="3" s="1"/>
  <c r="S31" i="2"/>
  <c r="F7" i="4" s="1"/>
  <c r="C123" i="4" s="1"/>
  <c r="AA31" i="2"/>
  <c r="B22" i="4" s="1"/>
  <c r="D37" i="4" s="1"/>
  <c r="AI31" i="2"/>
  <c r="B51" i="4" s="1"/>
  <c r="D65" i="4" s="1"/>
  <c r="AQ31" i="2"/>
  <c r="AY31" i="2"/>
  <c r="AU66" i="2"/>
  <c r="BE66" i="2"/>
  <c r="C22" i="3"/>
  <c r="C21" i="3"/>
  <c r="G22" i="3"/>
  <c r="G23" i="3" s="1"/>
  <c r="G21" i="3"/>
  <c r="K21" i="3"/>
  <c r="M21" i="3"/>
  <c r="AO31" i="2"/>
  <c r="B65" i="4" s="1"/>
  <c r="D79" i="4" s="1"/>
  <c r="B21" i="3"/>
  <c r="B23" i="3" s="1"/>
  <c r="U31" i="2"/>
  <c r="D7" i="4" s="1"/>
  <c r="AC31" i="2"/>
  <c r="B37" i="4" s="1"/>
  <c r="D51" i="4" s="1"/>
  <c r="AK31" i="2"/>
  <c r="AS31" i="2"/>
  <c r="Y58" i="2"/>
  <c r="D25" i="4" s="1"/>
  <c r="AG58" i="2"/>
  <c r="AO58" i="2"/>
  <c r="B68" i="4" s="1"/>
  <c r="D82" i="4" s="1"/>
  <c r="AW58" i="2"/>
  <c r="AM66" i="2"/>
  <c r="AW66" i="2"/>
  <c r="BG66" i="2"/>
  <c r="Q73" i="2"/>
  <c r="BG73" i="2"/>
  <c r="H114" i="4"/>
  <c r="K114" i="4" s="1"/>
  <c r="D21" i="3"/>
  <c r="D23" i="3" s="1"/>
  <c r="H21" i="3"/>
  <c r="H23" i="3" s="1"/>
  <c r="L21" i="3"/>
  <c r="K98" i="4" l="1"/>
  <c r="B9" i="3"/>
  <c r="BI60" i="2"/>
  <c r="K70" i="4"/>
  <c r="BC60" i="2"/>
  <c r="AN9" i="3" s="1"/>
  <c r="BU9" i="3" s="1"/>
  <c r="AU60" i="2"/>
  <c r="AM60" i="2"/>
  <c r="X9" i="3" s="1"/>
  <c r="BM9" i="3" s="1"/>
  <c r="AE60" i="2"/>
  <c r="P9" i="3" s="1"/>
  <c r="BI9" i="3" s="1"/>
  <c r="W60" i="2"/>
  <c r="BA60" i="2"/>
  <c r="AS60" i="2"/>
  <c r="AD9" i="3" s="1"/>
  <c r="BP9" i="3" s="1"/>
  <c r="AK60" i="2"/>
  <c r="V9" i="3" s="1"/>
  <c r="BL9" i="3" s="1"/>
  <c r="AC60" i="2"/>
  <c r="U60" i="2"/>
  <c r="AY60" i="2"/>
  <c r="AJ9" i="3" s="1"/>
  <c r="BS9" i="3" s="1"/>
  <c r="AQ60" i="2"/>
  <c r="AB9" i="3" s="1"/>
  <c r="BO9" i="3" s="1"/>
  <c r="AI60" i="2"/>
  <c r="AA60" i="2"/>
  <c r="S60" i="2"/>
  <c r="BE60" i="2"/>
  <c r="AP9" i="3" s="1"/>
  <c r="BV9" i="3" s="1"/>
  <c r="AO60" i="2"/>
  <c r="Y60" i="2"/>
  <c r="AW60" i="2"/>
  <c r="AH9" i="3" s="1"/>
  <c r="BR9" i="3" s="1"/>
  <c r="AG60" i="2"/>
  <c r="R9" i="3" s="1"/>
  <c r="BJ9" i="3" s="1"/>
  <c r="B114" i="4"/>
  <c r="AR40" i="3"/>
  <c r="K84" i="4"/>
  <c r="C23" i="3"/>
  <c r="H113" i="4"/>
  <c r="BG60" i="2"/>
  <c r="AQ9" i="3"/>
  <c r="BH62" i="2"/>
  <c r="BK58" i="2"/>
  <c r="BF62" i="2"/>
  <c r="BF61" i="2"/>
  <c r="K99" i="4"/>
  <c r="BA73" i="2"/>
  <c r="AS73" i="2"/>
  <c r="AD40" i="3" s="1"/>
  <c r="AK73" i="2"/>
  <c r="V40" i="3" s="1"/>
  <c r="AW73" i="2"/>
  <c r="AH40" i="3" s="1"/>
  <c r="AM73" i="2"/>
  <c r="X40" i="3" s="1"/>
  <c r="BE73" i="2"/>
  <c r="AP40" i="3" s="1"/>
  <c r="AU73" i="2"/>
  <c r="AI73" i="2"/>
  <c r="BC73" i="2"/>
  <c r="AN40" i="3" s="1"/>
  <c r="AQ73" i="2"/>
  <c r="AB40" i="3" s="1"/>
  <c r="AY73" i="2"/>
  <c r="AJ40" i="3" s="1"/>
  <c r="AO73" i="2"/>
  <c r="B113" i="4" l="1"/>
  <c r="F128" i="4" s="1"/>
  <c r="AR9" i="3"/>
  <c r="D27" i="4"/>
  <c r="J9" i="3"/>
  <c r="L18" i="3" s="1"/>
  <c r="L22" i="3" s="1"/>
  <c r="L23" i="3" s="1"/>
  <c r="B27" i="4"/>
  <c r="D42" i="4" s="1"/>
  <c r="L9" i="3"/>
  <c r="M18" i="3" s="1"/>
  <c r="M22" i="3" s="1"/>
  <c r="M23" i="3" s="1"/>
  <c r="D12" i="4"/>
  <c r="F9" i="3"/>
  <c r="J18" i="3" s="1"/>
  <c r="AL9" i="3"/>
  <c r="B98" i="4"/>
  <c r="D113" i="4" s="1"/>
  <c r="B84" i="4"/>
  <c r="D98" i="4" s="1"/>
  <c r="AF9" i="3"/>
  <c r="B71" i="4"/>
  <c r="D85" i="4" s="1"/>
  <c r="Z40" i="3"/>
  <c r="B57" i="4"/>
  <c r="D71" i="4" s="1"/>
  <c r="T40" i="3"/>
  <c r="C49" i="3"/>
  <c r="AF40" i="3"/>
  <c r="B85" i="4"/>
  <c r="D99" i="4" s="1"/>
  <c r="F12" i="4"/>
  <c r="C128" i="4" s="1"/>
  <c r="D9" i="3"/>
  <c r="I18" i="3" s="1"/>
  <c r="AT9" i="3"/>
  <c r="D128" i="4"/>
  <c r="B99" i="4"/>
  <c r="D114" i="4" s="1"/>
  <c r="AL40" i="3"/>
  <c r="H115" i="4"/>
  <c r="K113" i="4"/>
  <c r="Z9" i="3"/>
  <c r="B70" i="4"/>
  <c r="D84" i="4" s="1"/>
  <c r="B56" i="4"/>
  <c r="D70" i="4" s="1"/>
  <c r="T9" i="3"/>
  <c r="B42" i="4"/>
  <c r="D56" i="4" s="1"/>
  <c r="N9" i="3"/>
  <c r="B12" i="4"/>
  <c r="F27" i="4" s="1"/>
  <c r="H9" i="3"/>
  <c r="K18" i="3" s="1"/>
  <c r="K22" i="3" s="1"/>
  <c r="K23" i="3" s="1"/>
  <c r="BK9" i="3" l="1"/>
  <c r="C19" i="3"/>
  <c r="J21" i="3"/>
  <c r="J22" i="3"/>
  <c r="H19" i="3"/>
  <c r="BX9" i="3"/>
  <c r="BW9" i="3"/>
  <c r="G19" i="3"/>
  <c r="D19" i="3"/>
  <c r="BN9" i="3"/>
  <c r="BQ9" i="3"/>
  <c r="E19" i="3"/>
  <c r="B19" i="3"/>
  <c r="BH9" i="3"/>
  <c r="I22" i="3"/>
  <c r="I21" i="3"/>
  <c r="F19" i="3"/>
  <c r="BT9" i="3"/>
  <c r="J23" i="3" l="1"/>
  <c r="I23" i="3"/>
</calcChain>
</file>

<file path=xl/sharedStrings.xml><?xml version="1.0" encoding="utf-8"?>
<sst xmlns="http://schemas.openxmlformats.org/spreadsheetml/2006/main" count="809" uniqueCount="421">
  <si>
    <t>Note à l'attention des utilisateurs :</t>
  </si>
  <si>
    <t>En pratique : après avoir renseigné les valeurs faire F9 pour activer les calculs si pas fait automatiquement</t>
  </si>
  <si>
    <r>
      <rPr>
        <sz val="11"/>
        <rFont val="Arial"/>
        <family val="2"/>
        <charset val="1"/>
      </rPr>
      <t xml:space="preserve">Le présent fichier permet d'assurer le </t>
    </r>
    <r>
      <rPr>
        <b/>
        <sz val="11"/>
        <rFont val="Arial"/>
        <family val="2"/>
        <charset val="1"/>
      </rPr>
      <t>suivi du remplissage des réserves, toutes les décades en période d'étiage et 1 fois par mois le reste de l'année</t>
    </r>
    <r>
      <rPr>
        <sz val="11"/>
        <rFont val="Arial"/>
        <family val="2"/>
        <charset val="1"/>
      </rPr>
      <t xml:space="preserve">. Il est envoyé en début de mois à l'Oieau et la DEB selon le planning du BSH national (date limite vers le 10 du mois n+1 en général) et déposer sur le site internet de la DREAL.
Il fournit pour chaque mois le volume de la réserve en Mm3 et le taux de remplissage en % au regard de la capacité de la réserve.
Il permet de suivre les retenues conventionnées ou non de </t>
    </r>
    <r>
      <rPr>
        <b/>
        <sz val="11"/>
        <rFont val="Arial"/>
        <family val="2"/>
        <charset val="1"/>
      </rPr>
      <t>plus de 2 Mm3</t>
    </r>
    <r>
      <rPr>
        <sz val="11"/>
        <rFont val="Arial"/>
        <family val="2"/>
        <charset val="1"/>
      </rPr>
      <t xml:space="preserve"> (ou presque à quelques exceptions près).</t>
    </r>
  </si>
  <si>
    <r>
      <rPr>
        <b/>
        <sz val="11"/>
        <rFont val="Arial"/>
        <family val="2"/>
        <charset val="1"/>
      </rPr>
      <t xml:space="preserve">A faire en début d'année :
</t>
    </r>
    <r>
      <rPr>
        <sz val="11"/>
        <rFont val="Arial"/>
        <family val="2"/>
        <charset val="1"/>
      </rPr>
      <t xml:space="preserve"> - Vérifier les capacités totales ou volumes dédiés à l'étiage = colonne N
 - Préparer les tableaux utilisés pour le BSH = onglet "Bilan_BSH"</t>
    </r>
  </si>
  <si>
    <r>
      <rPr>
        <b/>
        <sz val="11"/>
        <rFont val="Arial"/>
        <family val="2"/>
        <charset val="1"/>
      </rPr>
      <t xml:space="preserve">Attention : bien vérifier/corriger les formules du calcul du taux de remplissage </t>
    </r>
    <r>
      <rPr>
        <sz val="11"/>
        <rFont val="Arial"/>
        <family val="2"/>
        <charset val="1"/>
      </rPr>
      <t xml:space="preserve">des réserves </t>
    </r>
    <r>
      <rPr>
        <b/>
        <sz val="11"/>
        <rFont val="Arial"/>
        <family val="2"/>
        <charset val="1"/>
      </rPr>
      <t>lorsque des données manquent</t>
    </r>
    <r>
      <rPr>
        <sz val="11"/>
        <rFont val="Arial"/>
        <family val="2"/>
        <charset val="1"/>
      </rPr>
      <t xml:space="preserve"> ou dans des cas particuliers / système Neste Haute-Montagne
Si pas de données fournies : </t>
    </r>
    <r>
      <rPr>
        <b/>
        <sz val="11"/>
        <rFont val="Arial"/>
        <family val="2"/>
        <charset val="1"/>
      </rPr>
      <t>griser la cellule</t>
    </r>
    <r>
      <rPr>
        <sz val="11"/>
        <rFont val="Arial"/>
        <family val="2"/>
        <charset val="1"/>
      </rPr>
      <t xml:space="preserve"> et effacer la formule de calcul du taux de remplissage
</t>
    </r>
    <r>
      <rPr>
        <b/>
        <sz val="11"/>
        <rFont val="Arial"/>
        <family val="2"/>
        <charset val="1"/>
      </rPr>
      <t xml:space="preserve">
Ne pas modifier le nom des colonnes car lien avec fichier pour carto, le n° de ref des retenues, ne pas supprimer d'onglets déjà nommés</t>
    </r>
  </si>
  <si>
    <r>
      <rPr>
        <sz val="11"/>
        <rFont val="Arial"/>
        <family val="2"/>
        <charset val="1"/>
      </rPr>
      <t xml:space="preserve">Les </t>
    </r>
    <r>
      <rPr>
        <b/>
        <sz val="11"/>
        <rFont val="Arial"/>
        <family val="2"/>
        <charset val="1"/>
      </rPr>
      <t>réserves sous convention</t>
    </r>
    <r>
      <rPr>
        <sz val="11"/>
        <rFont val="Arial"/>
        <family val="2"/>
        <charset val="1"/>
      </rPr>
      <t xml:space="preserve"> (2ème tableau) sont des ouvrages hydroélectriques </t>
    </r>
    <r>
      <rPr>
        <b/>
        <sz val="11"/>
        <rFont val="Arial"/>
        <family val="2"/>
        <charset val="1"/>
      </rPr>
      <t>dont une partie du volume est dédiée au soutien d'étiage</t>
    </r>
    <r>
      <rPr>
        <sz val="11"/>
        <rFont val="Arial"/>
        <family val="2"/>
        <charset val="1"/>
      </rPr>
      <t xml:space="preserve"> --&gt; la capacité des réserves correspond au volume dédié au soutien d'étiage (la capacité totale des réserves n'étant pas toujours connue / fournie)</t>
    </r>
  </si>
  <si>
    <t>Remarque : il est possible d'avoir un taux de remplissage supérieur à 100 % (cas du Tarn-Aveyron, de Charpal...) dans les cas où la capacité de la réserve correspond au volume utile (côte d'exploitation) et en cas de déversement du barrage.</t>
  </si>
  <si>
    <r>
      <rPr>
        <b/>
        <sz val="11"/>
        <rFont val="Arial"/>
        <family val="2"/>
        <charset val="1"/>
      </rPr>
      <t>Lac d'Oo</t>
    </r>
    <r>
      <rPr>
        <sz val="11"/>
        <rFont val="Arial"/>
        <family val="2"/>
        <charset val="1"/>
      </rPr>
      <t xml:space="preserve"> : 5 Mm3 dédiés au soutien d'étiage du 01/09 (exceptionnellement du 15/08) au 31/10
IGLS (Izourt – Gnioure - Laparan – Soulcem) : 46 Mm3 dédiés au soutien d'étiage du 15/06 au 31/10
</t>
    </r>
    <r>
      <rPr>
        <b/>
        <sz val="11"/>
        <rFont val="Arial"/>
        <family val="2"/>
        <charset val="1"/>
      </rPr>
      <t>Pareloup</t>
    </r>
    <r>
      <rPr>
        <sz val="11"/>
        <rFont val="Arial"/>
        <family val="2"/>
        <charset val="1"/>
      </rPr>
      <t xml:space="preserve"> : 5 Mm3 dédiés au soutien d'étiage du 01/07 au 31/10 (convention couvrant 2017, 2018 et 2019)
</t>
    </r>
    <r>
      <rPr>
        <b/>
        <sz val="11"/>
        <rFont val="Arial"/>
        <family val="2"/>
        <charset val="1"/>
      </rPr>
      <t>Système Neste HAUTE-MONTAGNE</t>
    </r>
    <r>
      <rPr>
        <sz val="11"/>
        <rFont val="Arial"/>
        <family val="2"/>
        <charset val="1"/>
      </rPr>
      <t xml:space="preserve"> : 48 Mm3 conventionnés pour les mois de juin à décembre ; 10 Mm3 conventionnés pour le mois de janvier ; 5 Mm3 conventionnés pour le mois de février ; 0 Mm3 pour les mois de mars à mai
</t>
    </r>
    <r>
      <rPr>
        <b/>
        <sz val="11"/>
        <rFont val="Arial"/>
        <family val="2"/>
        <charset val="1"/>
      </rPr>
      <t>St-Peyres</t>
    </r>
    <r>
      <rPr>
        <sz val="11"/>
        <rFont val="Arial"/>
        <family val="2"/>
        <charset val="1"/>
      </rPr>
      <t xml:space="preserve"> : 20 Mm3 dédiés au soutien d'étiage du 01/07 au 31/10 (convention 2012-2021) ;</t>
    </r>
    <r>
      <rPr>
        <sz val="11"/>
        <color rgb="FFFF0000"/>
        <rFont val="Arial"/>
        <family val="2"/>
        <charset val="1"/>
      </rPr>
      <t xml:space="preserve"> </t>
    </r>
    <r>
      <rPr>
        <i/>
        <sz val="11"/>
        <color rgb="FF0000FF"/>
        <rFont val="Arial"/>
        <family val="2"/>
        <charset val="1"/>
      </rPr>
      <t>volume total de la réserve affiché dans le tableau de suivi jusqu'en 2017, corrigé à partir de 2018 par le vol dédié à l'étiage pour cohérence avec les autres retenues sous convention (récupérer donnée d'EDF et non plus de la DDT81)</t>
    </r>
  </si>
  <si>
    <r>
      <rPr>
        <b/>
        <sz val="11"/>
        <rFont val="Arial"/>
        <family val="2"/>
        <charset val="1"/>
      </rPr>
      <t>Barrage de Miallet</t>
    </r>
    <r>
      <rPr>
        <sz val="11"/>
        <rFont val="Arial"/>
        <family val="2"/>
        <charset val="1"/>
      </rPr>
      <t xml:space="preserve"> (info du 27/03/2018) : 
Débit des lâchés pour Janvier et Février est de 60l/s correspond au débit réservé pour ces mois conformément à l’arrêté du 8 Juillet 1992 ; débit réservé pour les autres mois est de 31 l/s (en dehors des débits lâchers pour le soutien d'étiage si besoin).
Capacité totale de la retenue est de 4 952 500 m3 pour un niveau au limni à 298.00 m NGF.</t>
    </r>
  </si>
  <si>
    <r>
      <rPr>
        <sz val="11"/>
        <rFont val="Arial"/>
        <family val="2"/>
        <charset val="1"/>
      </rPr>
      <t xml:space="preserve">Barrage </t>
    </r>
    <r>
      <rPr>
        <b/>
        <sz val="11"/>
        <rFont val="Arial"/>
        <family val="2"/>
        <charset val="1"/>
      </rPr>
      <t>d'ENTRAYGUES</t>
    </r>
    <r>
      <rPr>
        <sz val="11"/>
        <rFont val="Arial"/>
        <family val="2"/>
        <charset val="1"/>
      </rPr>
      <t xml:space="preserve"> : 33 Mm3 dédiés au soutien d'étiage du 01/07 au 31/10, sauf indications contraires</t>
    </r>
  </si>
  <si>
    <t>A partir de l'étiage 2017, ajout de la réserve de Pareloup sur le Vioulou (sous convention - Aveyron) ; gestion par EDF (Hervé Daubeuf) : 5 Mm3 dédiés au soutien d'étiage du 01/07 au 31/10</t>
  </si>
  <si>
    <t>A partir de 2017, suppression de la retenue de MONTBEL dans le tableau : retenue de 60 Mm3 dont 7 Mm3 maxi sont destinés au soutien d'étiage de la Garonne à partir du 15 septembre et sous réserve de garantie de remplissage de la retenue pour l'année suivante (décision sur le volume éventuel accordé prise en cours d'étiage chaque année --&gt; voir Dreal de région pour connaitre le volume mis à dispo chaque année : à préciser dans le BSH)</t>
  </si>
  <si>
    <t>Barrage de Rassisse : d'après les plans initiaux du barrage on avait estimé à 4 Mm3 en plus des 8,5 Mm3 après travaux réalisé en 2015, mais le volume total depuis 2015 = 11,35 Mm3, confirmé avec bathymétrie réalisée en 2015.</t>
  </si>
  <si>
    <t>Ajout de Magnoac, Thérondel, Fourogue, Falquettes, Thuriès et Gréziolles</t>
  </si>
  <si>
    <t>A faire / à voir :</t>
  </si>
  <si>
    <t>Vérifier si le volume des ouvrages = volume total ou utile ou volume de la retenue normale d'exploitation  ?</t>
  </si>
  <si>
    <t>ST FERREOL : capacité totale est de 6.5 mais la Retenue Normale d'exploitation à ne pas dépasser est à ce jour de 347,20 NGF (29.06 m), soit 4 968 000 m3.</t>
  </si>
  <si>
    <t xml:space="preserve">Retenue de Gréziolles : convention avec EDF pour 2,8 Mm3 max de soutien d'étiage --&gt; retenue pas suivie par le passé : voir avec Dreal NA si utile de la rajouter ? </t>
  </si>
  <si>
    <t>Se requestionner sur la liste des réserves suivies : besoin d'en ajouter ?</t>
  </si>
  <si>
    <t>NOM_SBASSIN</t>
  </si>
  <si>
    <t>NOM_RESERVE</t>
  </si>
  <si>
    <t>REF_OVH</t>
  </si>
  <si>
    <t>NOM_COURS_EAU</t>
  </si>
  <si>
    <t>CAPACITE
RESERVE 2009</t>
  </si>
  <si>
    <t>CAPACITE
RESERVE 2010</t>
  </si>
  <si>
    <t>CAPACITE
RESERVE 2011</t>
  </si>
  <si>
    <t>CAPACITE
RESERVE 2012</t>
  </si>
  <si>
    <t>CAPACITE
RESERVE 2013</t>
  </si>
  <si>
    <t>CAPACITE
RESERVE 2014</t>
  </si>
  <si>
    <t>CAPACITE RESERVE 2015</t>
  </si>
  <si>
    <t>CAPACITE RESERVE 2016</t>
  </si>
  <si>
    <t>CAPACITE RESERVE 2017</t>
  </si>
  <si>
    <t>CAPACITE RESERVE 2018</t>
  </si>
  <si>
    <t>CAPACITE RESERVE 2019</t>
  </si>
  <si>
    <t>CAPACITE RESERVE 2020</t>
  </si>
  <si>
    <t>CAPACITE RESERVE 2022</t>
  </si>
  <si>
    <t>SOURCE_INFO</t>
  </si>
  <si>
    <t>COMMENTAIRES</t>
  </si>
  <si>
    <t>ADOUR</t>
  </si>
  <si>
    <t>ARRET DARRE</t>
  </si>
  <si>
    <t>ARROS</t>
  </si>
  <si>
    <t>CACG (astreinte GDE)</t>
  </si>
  <si>
    <t>AYGUELONGUE</t>
  </si>
  <si>
    <t>LUY DE BEARN</t>
  </si>
  <si>
    <t>BALAING</t>
  </si>
  <si>
    <t>LUY DE FRANCE</t>
  </si>
  <si>
    <t xml:space="preserve">Mises à jour à faire </t>
  </si>
  <si>
    <t>BROUSSEAU</t>
  </si>
  <si>
    <t>Ajouter la Ravière</t>
  </si>
  <si>
    <t>GABAS</t>
  </si>
  <si>
    <t>Intégrer les culots piscicoles</t>
  </si>
  <si>
    <t>GABASSOT</t>
  </si>
  <si>
    <t>Ajouter les réserves après consultation des DDT</t>
  </si>
  <si>
    <t>HAGETMAU</t>
  </si>
  <si>
    <t>LOUTS</t>
  </si>
  <si>
    <t>LAC BLEU</t>
  </si>
  <si>
    <t>LOUET</t>
  </si>
  <si>
    <t>DUHORT-BACHEN</t>
  </si>
  <si>
    <t>LOURDEN</t>
  </si>
  <si>
    <t>CHARROS</t>
  </si>
  <si>
    <t>MIDOU</t>
  </si>
  <si>
    <t>ST-JEAN</t>
  </si>
  <si>
    <t>DOUZE</t>
  </si>
  <si>
    <t>TOTAL ADOUR</t>
  </si>
  <si>
    <t>CHARENTE</t>
  </si>
  <si>
    <t>LAVAUD / MAS CHABAN</t>
  </si>
  <si>
    <t>CD16 (Nathalie DESBOIS)</t>
  </si>
  <si>
    <t>DORDOGNE</t>
  </si>
  <si>
    <t>MIALLET</t>
  </si>
  <si>
    <t>DRONNE</t>
  </si>
  <si>
    <t>SOGEDO ( Jean-Benoît DUTILLY)</t>
  </si>
  <si>
    <t>GARONNE</t>
  </si>
  <si>
    <t>BALERME</t>
  </si>
  <si>
    <t>GIROU</t>
  </si>
  <si>
    <t>BRAYSSOU</t>
  </si>
  <si>
    <t>DROPT</t>
  </si>
  <si>
    <t>FABAS</t>
  </si>
  <si>
    <t>TOUCH</t>
  </si>
  <si>
    <t>SIAHT</t>
  </si>
  <si>
    <t>FILHEIT</t>
  </si>
  <si>
    <t>ARIZE</t>
  </si>
  <si>
    <t>SMDEA09 (Xavier Roujat)</t>
  </si>
  <si>
    <t xml:space="preserve">GANGUISE </t>
  </si>
  <si>
    <t>GANGUISE</t>
  </si>
  <si>
    <t>BRL exploitation (+IEMN)</t>
  </si>
  <si>
    <t>LA BURE</t>
  </si>
  <si>
    <t>LARAGOU</t>
  </si>
  <si>
    <t>LESCOURROUX</t>
  </si>
  <si>
    <t>MONDELY</t>
  </si>
  <si>
    <t>LEZE</t>
  </si>
  <si>
    <t>SMAHVL (Chantal CHAUVIN /  David COMMINGES)</t>
  </si>
  <si>
    <t>MONTBEL</t>
  </si>
  <si>
    <t>HERS VIF</t>
  </si>
  <si>
    <t>IIABM</t>
  </si>
  <si>
    <t>SAVERES</t>
  </si>
  <si>
    <t>TOTAL GARONNE</t>
  </si>
  <si>
    <t>NESTE</t>
  </si>
  <si>
    <t>ASTARAC</t>
  </si>
  <si>
    <t>ARRATS</t>
  </si>
  <si>
    <t xml:space="preserve">LA BARADEE </t>
  </si>
  <si>
    <t>GUIROUE</t>
  </si>
  <si>
    <t>LIZET</t>
  </si>
  <si>
    <t>OSSE</t>
  </si>
  <si>
    <t>GIMONE (LUNAX)</t>
  </si>
  <si>
    <t>GIMONE</t>
  </si>
  <si>
    <t>BOUES SERE RUSTAING</t>
  </si>
  <si>
    <t>BOUES</t>
  </si>
  <si>
    <t>MIELAN</t>
  </si>
  <si>
    <t>PUYDARRIEUX</t>
  </si>
  <si>
    <t>BAISE</t>
  </si>
  <si>
    <t>ST-FRAJOU</t>
  </si>
  <si>
    <t>AUSSOUE</t>
  </si>
  <si>
    <t>ST-LAURENT</t>
  </si>
  <si>
    <t>AUZOUE</t>
  </si>
  <si>
    <t>MAGNOAC</t>
  </si>
  <si>
    <t>52</t>
  </si>
  <si>
    <t>GEZE</t>
  </si>
  <si>
    <t>TOTAL NESTE</t>
  </si>
  <si>
    <t>LOT</t>
  </si>
  <si>
    <t>CHARPAL</t>
  </si>
  <si>
    <t>COLAGNE</t>
  </si>
  <si>
    <t>Ville de Mende (Philippe PITOT)</t>
  </si>
  <si>
    <t>TARN_AVEYRON</t>
  </si>
  <si>
    <t>BANCALIE</t>
  </si>
  <si>
    <t>LEZERT</t>
  </si>
  <si>
    <t>DDT81 (Stephane BONNAUD)</t>
  </si>
  <si>
    <t>dont environ 5.5 Mm3 dédiés à l'étiage pour un Vglobal Rassisse+Bancalie de 13Mm3</t>
  </si>
  <si>
    <t>CAMMAZES</t>
  </si>
  <si>
    <t>SOR</t>
  </si>
  <si>
    <t>IEMN (secrétariat)</t>
  </si>
  <si>
    <t>GALAUBE</t>
  </si>
  <si>
    <t>ALZEAU</t>
  </si>
  <si>
    <t>GOUYRE</t>
  </si>
  <si>
    <t>CD82 (Claude DESPLAS-Guillaume BOITIER)</t>
  </si>
  <si>
    <t>RASSISSE</t>
  </si>
  <si>
    <t>DADOU</t>
  </si>
  <si>
    <t>dont environ 7.5 Mm3 dédiés à l'étiage pour un Vglobal Rassisse+Bancalie de 13Mm3</t>
  </si>
  <si>
    <t>ST-FERREOL</t>
  </si>
  <si>
    <t>CANAL MIDI</t>
  </si>
  <si>
    <t>VNF (Belhadj AMRANI)</t>
  </si>
  <si>
    <t>ST-GERAUD</t>
  </si>
  <si>
    <t>CEROU</t>
  </si>
  <si>
    <t>TORDRE</t>
  </si>
  <si>
    <t>FOUROGUE</t>
  </si>
  <si>
    <t>54</t>
  </si>
  <si>
    <t>VERE</t>
  </si>
  <si>
    <t>CD81 (Guillaume Oules)</t>
  </si>
  <si>
    <t>THERONDEL</t>
  </si>
  <si>
    <t>51</t>
  </si>
  <si>
    <t>FALQUETTES</t>
  </si>
  <si>
    <t>53</t>
  </si>
  <si>
    <t>LERE</t>
  </si>
  <si>
    <t>TOTAL TARN AVEYRON</t>
  </si>
  <si>
    <t>ADOUR GARONNE (hors réserves sous convention)</t>
  </si>
  <si>
    <t>Destockage sur l'étiage depuis la date de plus fort remplissage (sans compter les recharges intermédiaires)</t>
  </si>
  <si>
    <t>RESERVES SOUS CONVENTION</t>
  </si>
  <si>
    <t>Destockage sur le mois</t>
  </si>
  <si>
    <t>CAPACITE RESERVE (VOL. POUR ETIAGE) 2009</t>
  </si>
  <si>
    <t>CAPACITE RESERVE (VOL. POUR ETIAGE) 2010</t>
  </si>
  <si>
    <t>CAPACITE RESERVE (VOL. POUR ETIAGE) 2011</t>
  </si>
  <si>
    <t>CAPACITE RESERVE (VOL. POUR ETIAGE) 2012</t>
  </si>
  <si>
    <t>CAPACITE RESERVE (VOL. POUR ETIAGE) 2013</t>
  </si>
  <si>
    <t>CAPACITE RESERVE (VOL. POUR ETIAGE) 2014</t>
  </si>
  <si>
    <t>CAPACITE RESERVE (VOL. POUR ETIAGE) 2015</t>
  </si>
  <si>
    <t>CAPACITE RESERVE (VOL. POUR ETIAGE) 2016</t>
  </si>
  <si>
    <t>CAPACITE RESERVE (VOL. POUR ETIAGE) 2017</t>
  </si>
  <si>
    <t>CAPACITE RESERVE (VOL. POUR ETIAGE) 2018</t>
  </si>
  <si>
    <t>CAPACITE RESERVE (VOL. POUR ETIAGE) 2019</t>
  </si>
  <si>
    <t>CAPACITE RESERVE (VOL. POUR ETIAGE) 2020</t>
  </si>
  <si>
    <t>CAPACITE RESERVE (VOL. POUR ETIAGE) 2022</t>
  </si>
  <si>
    <t>Période de conventionnement</t>
  </si>
  <si>
    <t>THURIES</t>
  </si>
  <si>
    <t>50</t>
  </si>
  <si>
    <t>VIAUR</t>
  </si>
  <si>
    <t>EDF Hydro Sud Ouest (Florence ARDORINO)</t>
  </si>
  <si>
    <t>01/07 au 31/10 (1,1Mm3)</t>
  </si>
  <si>
    <t>ENTRAYGUES</t>
  </si>
  <si>
    <t>TRUYERE</t>
  </si>
  <si>
    <t>EDF - Groupe Exploitation Lot-Truyère (Christophe CHARENTON)</t>
  </si>
  <si>
    <t>01/07 au 31/10 (33Mm3)</t>
  </si>
  <si>
    <t>TARN</t>
  </si>
  <si>
    <t>ST-PEYRES</t>
  </si>
  <si>
    <t>AGOUT</t>
  </si>
  <si>
    <t>01/07 au 31/10 (dont 2,5Mm3 pour la Garonne et 20Mm3 pour le Tarn)</t>
  </si>
  <si>
    <t>AVEYRON</t>
  </si>
  <si>
    <t>PARELOUP</t>
  </si>
  <si>
    <t>VIOULOU</t>
  </si>
  <si>
    <t>01/07 au 31/10 (5Mm3)</t>
  </si>
  <si>
    <t>GREZIOLLES</t>
  </si>
  <si>
    <t>ADOUR DE GARET</t>
  </si>
  <si>
    <t>institution Adour (Stéphane Simon) / EDF Hydro Sud Ouest (Hervé DAUBEUF)</t>
  </si>
  <si>
    <t>15/07 au 30/09 (2.8Mm3)</t>
  </si>
  <si>
    <t xml:space="preserve">SYSTÈME NESTE HAUTE MONTAGNE - volume déduit de lâchers agricole      </t>
  </si>
  <si>
    <t>NESTE HAUTE-MONTAGNE</t>
  </si>
  <si>
    <t>48Mm3 du 01/06 au 31/12 et sur le volume restant : 10 Mm3 en janvier et 5 Mm3 en février</t>
  </si>
  <si>
    <t>IGLS (EDF)</t>
  </si>
  <si>
    <t>ARIEGE</t>
  </si>
  <si>
    <t>EDF soutien étiage UPSO</t>
  </si>
  <si>
    <t>01/07 (si possible 15/06) au 31/10 (53Mm3)</t>
  </si>
  <si>
    <t>LAC D'OO</t>
  </si>
  <si>
    <t>LA NESTE D'OO</t>
  </si>
  <si>
    <t>8 Mm3 du 01/09 (si possible 15/08) au 31/10</t>
  </si>
  <si>
    <t>TOTAL RESERVES SOUS CONVENTION</t>
  </si>
  <si>
    <t>Destockage sur l'étiage depuis le 1er juillet</t>
  </si>
  <si>
    <t>fdhtjhwdhg;uc</t>
  </si>
  <si>
    <t xml:space="preserve"> </t>
  </si>
  <si>
    <t>OUVRAGES NON CONVENTIONNES</t>
  </si>
  <si>
    <t xml:space="preserve">CAPACITE RESERVE </t>
  </si>
  <si>
    <t>1</t>
  </si>
  <si>
    <t>Janvier</t>
  </si>
  <si>
    <t>Février</t>
  </si>
  <si>
    <t>Mars</t>
  </si>
  <si>
    <t>Avril</t>
  </si>
  <si>
    <t>Mai</t>
  </si>
  <si>
    <t>Juin</t>
  </si>
  <si>
    <t>Juillet</t>
  </si>
  <si>
    <t>10</t>
  </si>
  <si>
    <t>20</t>
  </si>
  <si>
    <t>juillet</t>
  </si>
  <si>
    <t>Aout</t>
  </si>
  <si>
    <t>Septembre</t>
  </si>
  <si>
    <t>Octobre</t>
  </si>
  <si>
    <t>Novembre</t>
  </si>
  <si>
    <t>Décembre</t>
  </si>
  <si>
    <t>Juin 1</t>
  </si>
  <si>
    <t>Juin 10</t>
  </si>
  <si>
    <t>Juin 20</t>
  </si>
  <si>
    <t>Juillet 1</t>
  </si>
  <si>
    <t>Juillet 10</t>
  </si>
  <si>
    <t>juillet 20</t>
  </si>
  <si>
    <t>Aout 1</t>
  </si>
  <si>
    <t>Aout 10</t>
  </si>
  <si>
    <t>Aout 20</t>
  </si>
  <si>
    <t>Septembre 1</t>
  </si>
  <si>
    <t>Septembre 10</t>
  </si>
  <si>
    <t>Septembre 20</t>
  </si>
  <si>
    <t>Octobre 1</t>
  </si>
  <si>
    <t>Octobre 10</t>
  </si>
  <si>
    <t>Octobre 20</t>
  </si>
  <si>
    <t>2017/2018</t>
  </si>
  <si>
    <t>2018/2019</t>
  </si>
  <si>
    <t>2019/2020</t>
  </si>
  <si>
    <t>2020/2021</t>
  </si>
  <si>
    <t>2021/2022</t>
  </si>
  <si>
    <t>2022/2023</t>
  </si>
  <si>
    <t>1er juin</t>
  </si>
  <si>
    <t>1er juillet</t>
  </si>
  <si>
    <t>1er août</t>
  </si>
  <si>
    <t>1er septembre</t>
  </si>
  <si>
    <t>1er octobre</t>
  </si>
  <si>
    <t>1er novembre</t>
  </si>
  <si>
    <t>1er décembre</t>
  </si>
  <si>
    <t>1er janvier</t>
  </si>
  <si>
    <t>1er février</t>
  </si>
  <si>
    <t>1er mars</t>
  </si>
  <si>
    <t>1er avril</t>
  </si>
  <si>
    <t>1er mai</t>
  </si>
  <si>
    <t>Minimal</t>
  </si>
  <si>
    <t>Maximal</t>
  </si>
  <si>
    <t>Différence</t>
  </si>
  <si>
    <t>OUVRAGES SOUS CONVENTION</t>
  </si>
  <si>
    <t>Août</t>
  </si>
  <si>
    <t>Janvier-Février</t>
  </si>
  <si>
    <t>Sous-bassin</t>
  </si>
  <si>
    <t>Taux de remplissage
1er mars 2022 (%)</t>
  </si>
  <si>
    <t>Taux de remplissage
1er mars 2021 (%)</t>
  </si>
  <si>
    <t>Taux de remplissage
1er février 2022 (%)</t>
  </si>
  <si>
    <t>Taux de remplissage
1er février 2021 (%)</t>
  </si>
  <si>
    <t>Taux de remplissage
1er janvier 2022 (%)</t>
  </si>
  <si>
    <t>Adour</t>
  </si>
  <si>
    <t>Charente</t>
  </si>
  <si>
    <t>Dordogne</t>
  </si>
  <si>
    <t>Garonne</t>
  </si>
  <si>
    <t>Lot</t>
  </si>
  <si>
    <t>Système Neste</t>
  </si>
  <si>
    <t>Tarn-Aveyron</t>
  </si>
  <si>
    <t>Total non conventionné</t>
  </si>
  <si>
    <t>Total conventionné</t>
  </si>
  <si>
    <t>Mars-Avril</t>
  </si>
  <si>
    <t>Taux de remplissage
1er mai 2022 (%)</t>
  </si>
  <si>
    <t>Taux de remplissage
1er mai 2021 (%)</t>
  </si>
  <si>
    <t>Taux de remplissage
1er avril 2022 (%)</t>
  </si>
  <si>
    <t>Taux de remplissage
1er avril 2021 (%)</t>
  </si>
  <si>
    <t>Taux de remplissage
1er juin 2022 (%)</t>
  </si>
  <si>
    <t>Taux de remplissage
1er juin 2021 (%)</t>
  </si>
  <si>
    <t>Taux de remplissage
1er juillet 2022 (%)</t>
  </si>
  <si>
    <t>Taux de remplissage
1er juillet 2021 (%)</t>
  </si>
  <si>
    <t>Taux de remplissage
1er août 2022 (%)</t>
  </si>
  <si>
    <t>Taux de remplissage
1er août 2021 (%)</t>
  </si>
  <si>
    <t>volume consommé en Mm3 en juillet</t>
  </si>
  <si>
    <t>soit</t>
  </si>
  <si>
    <t>% du volume disponible</t>
  </si>
  <si>
    <t>Taux de remplissage
1er septembre 2022 (%)</t>
  </si>
  <si>
    <t>Taux de remplissage
1er septembre 2021 (%)</t>
  </si>
  <si>
    <t>Taux de remplissage
1er août 2022%)</t>
  </si>
  <si>
    <t>volume consommé en Mm3 en août</t>
  </si>
  <si>
    <t>Taux de remplissage
1er octobre 2022 (%)</t>
  </si>
  <si>
    <t>Taux de remplissage
1er octobre 2021 (%)</t>
  </si>
  <si>
    <t>volume consommé en Mm3 en sept.</t>
  </si>
  <si>
    <t>Taux de remplissage
1er novembre 2022 (%)</t>
  </si>
  <si>
    <t>Taux de remplissage
1er novembre 2021 (%)</t>
  </si>
  <si>
    <t>volume consommé en Mm3 en oct.</t>
  </si>
  <si>
    <t>Novembre-Décembre</t>
  </si>
  <si>
    <r>
      <rPr>
        <b/>
        <sz val="10"/>
        <rFont val="Arial"/>
        <family val="2"/>
        <charset val="1"/>
      </rPr>
      <t>Taux de remplissage
1</t>
    </r>
    <r>
      <rPr>
        <b/>
        <vertAlign val="superscript"/>
        <sz val="10"/>
        <rFont val="Arial"/>
        <family val="2"/>
        <charset val="1"/>
      </rPr>
      <t>er</t>
    </r>
    <r>
      <rPr>
        <b/>
        <sz val="10"/>
        <rFont val="Arial"/>
        <family val="2"/>
        <charset val="1"/>
      </rPr>
      <t xml:space="preserve"> janvier 2023 (%)</t>
    </r>
  </si>
  <si>
    <t>Taux de remplissage
1er décembre 2022 (%)</t>
  </si>
  <si>
    <t>Taux de remplissage
1er décembre 2021 (%)</t>
  </si>
  <si>
    <t>Remplissage</t>
  </si>
  <si>
    <t>Taux de remplissage</t>
  </si>
  <si>
    <t>0,64</t>
  </si>
  <si>
    <t>6,3%</t>
  </si>
  <si>
    <t>0,51</t>
  </si>
  <si>
    <t>15,9%</t>
  </si>
  <si>
    <t>0,32</t>
  </si>
  <si>
    <t>9,1%</t>
  </si>
  <si>
    <t>0,31</t>
  </si>
  <si>
    <t>16,8%</t>
  </si>
  <si>
    <t>0,78</t>
  </si>
  <si>
    <t>3,9%</t>
  </si>
  <si>
    <t>0,19</t>
  </si>
  <si>
    <t>6,0%</t>
  </si>
  <si>
    <t>0,39</t>
  </si>
  <si>
    <t>15,6%</t>
  </si>
  <si>
    <t>5,97</t>
  </si>
  <si>
    <t>51,0%</t>
  </si>
  <si>
    <t>6,2%</t>
  </si>
  <si>
    <t>0,63</t>
  </si>
  <si>
    <t>12,4%</t>
  </si>
  <si>
    <t>0,17</t>
  </si>
  <si>
    <t>14,2%</t>
  </si>
  <si>
    <t>0,10</t>
  </si>
  <si>
    <t>4,0%</t>
  </si>
  <si>
    <t>10,33</t>
  </si>
  <si>
    <t>14,8%</t>
  </si>
  <si>
    <t>2,60</t>
  </si>
  <si>
    <t>12,3%</t>
  </si>
  <si>
    <t>1,88</t>
  </si>
  <si>
    <t>38,0%</t>
  </si>
  <si>
    <t>0,74</t>
  </si>
  <si>
    <t>37,0%</t>
  </si>
  <si>
    <t>1,24</t>
  </si>
  <si>
    <t>36,4%</t>
  </si>
  <si>
    <t>0,59</t>
  </si>
  <si>
    <t>28,1%</t>
  </si>
  <si>
    <t>13,0%</t>
  </si>
  <si>
    <t>17,78</t>
  </si>
  <si>
    <t>39,9%</t>
  </si>
  <si>
    <t>1,01</t>
  </si>
  <si>
    <t>24,6%</t>
  </si>
  <si>
    <t>0,70</t>
  </si>
  <si>
    <t>37,3%</t>
  </si>
  <si>
    <t>1,51</t>
  </si>
  <si>
    <t>18,9%</t>
  </si>
  <si>
    <t>1,03</t>
  </si>
  <si>
    <t>25,8%</t>
  </si>
  <si>
    <t>8,98</t>
  </si>
  <si>
    <t>0,24</t>
  </si>
  <si>
    <t>11,4%</t>
  </si>
  <si>
    <t>34,46</t>
  </si>
  <si>
    <t>25,0%</t>
  </si>
  <si>
    <t>1,04</t>
  </si>
  <si>
    <t>10,4%</t>
  </si>
  <si>
    <t>0,38</t>
  </si>
  <si>
    <t>16,5%</t>
  </si>
  <si>
    <t>0,52</t>
  </si>
  <si>
    <t>15,3%</t>
  </si>
  <si>
    <t>5,03</t>
  </si>
  <si>
    <t>21,0%</t>
  </si>
  <si>
    <t>6,8%</t>
  </si>
  <si>
    <t>0,69</t>
  </si>
  <si>
    <t>18,5%</t>
  </si>
  <si>
    <t>2,28</t>
  </si>
  <si>
    <t>16,3%</t>
  </si>
  <si>
    <t>1,38</t>
  </si>
  <si>
    <t>47,2%</t>
  </si>
  <si>
    <t>0,11</t>
  </si>
  <si>
    <t>6,6%</t>
  </si>
  <si>
    <t>1,25</t>
  </si>
  <si>
    <t>25,3%</t>
  </si>
  <si>
    <t>12,85</t>
  </si>
  <si>
    <t>5,4</t>
  </si>
  <si>
    <t>65,9%</t>
  </si>
  <si>
    <t>4,03</t>
  </si>
  <si>
    <t>8,10</t>
  </si>
  <si>
    <t>43,1%</t>
  </si>
  <si>
    <t>4,10</t>
  </si>
  <si>
    <t>52,6%</t>
  </si>
  <si>
    <t>0,61</t>
  </si>
  <si>
    <t>17,9%</t>
  </si>
  <si>
    <t>6,06</t>
  </si>
  <si>
    <t>53,4%</t>
  </si>
  <si>
    <t>2,00</t>
  </si>
  <si>
    <t>13,3%</t>
  </si>
  <si>
    <t>1,06</t>
  </si>
  <si>
    <t>33,1%</t>
  </si>
  <si>
    <t>0,04</t>
  </si>
  <si>
    <t>3,5%</t>
  </si>
  <si>
    <t>0,02</t>
  </si>
  <si>
    <t>2,6%</t>
  </si>
  <si>
    <t>0,09</t>
  </si>
  <si>
    <t>14,0%</t>
  </si>
  <si>
    <t>27,35</t>
  </si>
  <si>
    <t>35,1%</t>
  </si>
  <si>
    <t>94,87</t>
  </si>
  <si>
    <t>24,4%</t>
  </si>
  <si>
    <t>0,00</t>
  </si>
  <si>
    <t>0,0%</t>
  </si>
  <si>
    <t>2,65</t>
  </si>
  <si>
    <t>8,0%</t>
  </si>
  <si>
    <t>0,43</t>
  </si>
  <si>
    <t>1,9%</t>
  </si>
  <si>
    <t>1,72</t>
  </si>
  <si>
    <t>34,3%</t>
  </si>
  <si>
    <t>9,42</t>
  </si>
  <si>
    <t>19,6%</t>
  </si>
  <si>
    <t>9,80</t>
  </si>
  <si>
    <t>20,4%</t>
  </si>
  <si>
    <t>2,50</t>
  </si>
  <si>
    <t>5,2%</t>
  </si>
  <si>
    <t>26,51</t>
  </si>
  <si>
    <t>15,3 %</t>
  </si>
  <si>
    <t>Réseau 31 (Mélanie Bénazet)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</si>
</sst>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\ %"/>
    <numFmt numFmtId="165" formatCode="dd/mm/yy;@"/>
    <numFmt numFmtId="166" formatCode="0.0%"/>
    <numFmt numFmtId="167" formatCode="0.0"/>
    <numFmt numFmtId="168" formatCode="0.0000"/>
    <numFmt numFmtId="169" formatCode="0.000"/>
    <numFmt numFmtId="170" formatCode="#,##0.0"/>
  </numFmts>
  <fonts count="27">
    <font>
      <sz val="10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11"/>
      <color rgb="FFFF0000"/>
      <name val="Arial"/>
      <family val="2"/>
      <charset val="1"/>
    </font>
    <font>
      <i/>
      <sz val="11"/>
      <color rgb="FF0000FF"/>
      <name val="Arial"/>
      <family val="2"/>
      <charset val="1"/>
    </font>
    <font>
      <b/>
      <sz val="10"/>
      <name val="Arial"/>
      <family val="2"/>
      <charset val="1"/>
    </font>
    <font>
      <i/>
      <sz val="10"/>
      <color rgb="FF969696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charset val="1"/>
    </font>
    <font>
      <b/>
      <sz val="10"/>
      <color rgb="FF993366"/>
      <name val="Arial"/>
      <family val="2"/>
      <charset val="1"/>
    </font>
    <font>
      <b/>
      <i/>
      <sz val="10"/>
      <color rgb="FF969696"/>
      <name val="Arial"/>
      <family val="2"/>
      <charset val="1"/>
    </font>
    <font>
      <sz val="10"/>
      <name val="Arial Unicode MS"/>
      <charset val="1"/>
    </font>
    <font>
      <b/>
      <sz val="10"/>
      <color rgb="FFFF0000"/>
      <name val="Arial"/>
      <family val="2"/>
      <charset val="1"/>
    </font>
    <font>
      <b/>
      <i/>
      <sz val="10"/>
      <name val="Arial"/>
      <family val="2"/>
      <charset val="1"/>
    </font>
    <font>
      <i/>
      <sz val="10"/>
      <color rgb="FFC0C0C0"/>
      <name val="Arial"/>
      <family val="2"/>
      <charset val="1"/>
    </font>
    <font>
      <b/>
      <sz val="10"/>
      <color rgb="FF0000FF"/>
      <name val="Arial"/>
      <family val="2"/>
      <charset val="1"/>
    </font>
    <font>
      <i/>
      <sz val="10"/>
      <color rgb="FFA6A6A6"/>
      <name val="Arial"/>
      <family val="2"/>
      <charset val="1"/>
    </font>
    <font>
      <sz val="10"/>
      <color rgb="FF0000FF"/>
      <name val="Arial"/>
      <family val="2"/>
      <charset val="1"/>
    </font>
    <font>
      <b/>
      <sz val="10"/>
      <color rgb="FF800080"/>
      <name val="Arial"/>
      <family val="2"/>
      <charset val="1"/>
    </font>
    <font>
      <b/>
      <sz val="10"/>
      <color rgb="FF808080"/>
      <name val="Arial"/>
      <family val="2"/>
      <charset val="1"/>
    </font>
    <font>
      <sz val="10"/>
      <color rgb="FF808080"/>
      <name val="Arial"/>
      <family val="2"/>
      <charset val="1"/>
    </font>
    <font>
      <b/>
      <sz val="10"/>
      <color rgb="FF0000FF"/>
      <name val="Arial"/>
      <charset val="1"/>
    </font>
    <font>
      <b/>
      <sz val="10"/>
      <color rgb="FF800080"/>
      <name val="Arial"/>
      <charset val="1"/>
    </font>
    <font>
      <b/>
      <sz val="10"/>
      <color rgb="FFFF0000"/>
      <name val="Arial"/>
      <charset val="1"/>
    </font>
    <font>
      <b/>
      <vertAlign val="superscript"/>
      <sz val="10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FFFF99"/>
        <bgColor rgb="FFFFFBCC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333333"/>
        <bgColor rgb="FF333300"/>
      </patternFill>
    </fill>
    <fill>
      <patternFill patternType="solid">
        <fgColor rgb="FFBFBFBF"/>
        <bgColor rgb="FFC0C0C0"/>
      </patternFill>
    </fill>
    <fill>
      <patternFill patternType="solid">
        <fgColor rgb="FFA6A6A6"/>
        <bgColor rgb="FFA5A5A5"/>
      </patternFill>
    </fill>
    <fill>
      <patternFill patternType="solid">
        <fgColor rgb="FFCCFFFF"/>
        <bgColor rgb="FFCCFFCC"/>
      </patternFill>
    </fill>
    <fill>
      <patternFill patternType="solid">
        <fgColor rgb="FFB2B2B2"/>
        <bgColor rgb="FFA6A6A6"/>
      </patternFill>
    </fill>
    <fill>
      <patternFill patternType="solid">
        <fgColor rgb="FFC0C0C0"/>
        <bgColor rgb="FFBFBFBF"/>
      </patternFill>
    </fill>
    <fill>
      <patternFill patternType="solid">
        <fgColor rgb="FFFFF2CC"/>
        <bgColor rgb="FFFFFBCC"/>
      </patternFill>
    </fill>
    <fill>
      <patternFill patternType="solid">
        <fgColor rgb="FFFFCC00"/>
        <bgColor rgb="FFFFC000"/>
      </patternFill>
    </fill>
    <fill>
      <patternFill patternType="solid">
        <fgColor rgb="FFFFFBCC"/>
        <bgColor rgb="FFFFF2CC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164" fontId="8" fillId="0" borderId="0" applyBorder="0" applyProtection="0"/>
    <xf numFmtId="164" fontId="8" fillId="0" borderId="0" applyBorder="0" applyProtection="0"/>
  </cellStyleXfs>
  <cellXfs count="437">
    <xf numFmtId="0" fontId="0" fillId="0" borderId="0" xfId="0"/>
    <xf numFmtId="0" fontId="7" fillId="0" borderId="1" xfId="2" applyNumberFormat="1" applyFont="1" applyBorder="1" applyAlignment="1" applyProtection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0" xfId="0" applyAlignment="1">
      <alignment vertical="center"/>
    </xf>
    <xf numFmtId="0" fontId="6" fillId="0" borderId="0" xfId="0" applyFont="1"/>
    <xf numFmtId="0" fontId="7" fillId="3" borderId="5" xfId="2" applyNumberFormat="1" applyFont="1" applyFill="1" applyBorder="1" applyAlignment="1" applyProtection="1">
      <alignment horizontal="center" vertical="center"/>
    </xf>
    <xf numFmtId="0" fontId="7" fillId="3" borderId="6" xfId="2" applyNumberFormat="1" applyFont="1" applyFill="1" applyBorder="1" applyAlignment="1" applyProtection="1">
      <alignment horizontal="center" vertical="center"/>
    </xf>
    <xf numFmtId="0" fontId="7" fillId="3" borderId="7" xfId="2" applyNumberFormat="1" applyFont="1" applyFill="1" applyBorder="1" applyAlignment="1" applyProtection="1">
      <alignment horizontal="center" vertical="center" wrapText="1"/>
    </xf>
    <xf numFmtId="0" fontId="7" fillId="3" borderId="8" xfId="2" applyNumberFormat="1" applyFont="1" applyFill="1" applyBorder="1" applyAlignment="1" applyProtection="1">
      <alignment horizontal="center" vertical="center" wrapText="1"/>
    </xf>
    <xf numFmtId="0" fontId="7" fillId="3" borderId="6" xfId="2" applyNumberFormat="1" applyFont="1" applyFill="1" applyBorder="1" applyAlignment="1" applyProtection="1">
      <alignment horizontal="center" vertical="center" wrapText="1"/>
    </xf>
    <xf numFmtId="0" fontId="7" fillId="3" borderId="9" xfId="2" applyNumberFormat="1" applyFont="1" applyFill="1" applyBorder="1" applyAlignment="1" applyProtection="1">
      <alignment horizontal="center" vertical="center" wrapText="1"/>
    </xf>
    <xf numFmtId="0" fontId="7" fillId="3" borderId="10" xfId="2" applyNumberFormat="1" applyFont="1" applyFill="1" applyBorder="1" applyAlignment="1" applyProtection="1">
      <alignment horizontal="center" vertical="center" wrapText="1"/>
    </xf>
    <xf numFmtId="0" fontId="7" fillId="3" borderId="11" xfId="2" applyNumberFormat="1" applyFont="1" applyFill="1" applyBorder="1" applyAlignment="1" applyProtection="1">
      <alignment horizontal="center" vertical="center" wrapText="1"/>
    </xf>
    <xf numFmtId="165" fontId="5" fillId="3" borderId="11" xfId="0" applyNumberFormat="1" applyFont="1" applyFill="1" applyBorder="1" applyAlignment="1">
      <alignment vertical="center"/>
    </xf>
    <xf numFmtId="14" fontId="5" fillId="3" borderId="12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3" xfId="2" applyNumberFormat="1" applyFont="1" applyBorder="1" applyAlignment="1" applyProtection="1">
      <alignment wrapText="1"/>
    </xf>
    <xf numFmtId="0" fontId="9" fillId="0" borderId="14" xfId="2" applyNumberFormat="1" applyFont="1" applyBorder="1" applyAlignment="1" applyProtection="1">
      <alignment wrapText="1"/>
    </xf>
    <xf numFmtId="0" fontId="9" fillId="0" borderId="14" xfId="2" applyNumberFormat="1" applyFont="1" applyBorder="1" applyAlignment="1" applyProtection="1">
      <alignment horizontal="center" wrapText="1"/>
    </xf>
    <xf numFmtId="0" fontId="10" fillId="0" borderId="15" xfId="2" applyNumberFormat="1" applyFont="1" applyBorder="1" applyAlignment="1" applyProtection="1">
      <alignment wrapText="1"/>
    </xf>
    <xf numFmtId="0" fontId="9" fillId="0" borderId="16" xfId="2" applyNumberFormat="1" applyFont="1" applyBorder="1" applyAlignment="1" applyProtection="1">
      <alignment horizontal="right" wrapText="1"/>
    </xf>
    <xf numFmtId="0" fontId="9" fillId="0" borderId="17" xfId="2" applyNumberFormat="1" applyFont="1" applyBorder="1" applyAlignment="1" applyProtection="1">
      <alignment horizontal="right" wrapText="1"/>
    </xf>
    <xf numFmtId="0" fontId="9" fillId="0" borderId="18" xfId="2" applyNumberFormat="1" applyFont="1" applyBorder="1" applyAlignment="1" applyProtection="1">
      <alignment horizontal="right" wrapText="1"/>
    </xf>
    <xf numFmtId="0" fontId="9" fillId="0" borderId="19" xfId="2" applyNumberFormat="1" applyFont="1" applyBorder="1" applyAlignment="1" applyProtection="1">
      <alignment horizontal="right" wrapText="1"/>
    </xf>
    <xf numFmtId="0" fontId="9" fillId="0" borderId="20" xfId="2" applyNumberFormat="1" applyFont="1" applyBorder="1" applyAlignment="1" applyProtection="1">
      <alignment horizontal="right" wrapText="1"/>
    </xf>
    <xf numFmtId="2" fontId="0" fillId="0" borderId="21" xfId="0" applyNumberFormat="1" applyBorder="1"/>
    <xf numFmtId="166" fontId="11" fillId="0" borderId="22" xfId="2" applyNumberFormat="1" applyFont="1" applyBorder="1" applyAlignment="1" applyProtection="1">
      <alignment horizontal="right" wrapText="1"/>
    </xf>
    <xf numFmtId="0" fontId="0" fillId="0" borderId="1" xfId="0" applyBorder="1" applyAlignment="1">
      <alignment vertical="center"/>
    </xf>
    <xf numFmtId="0" fontId="9" fillId="0" borderId="23" xfId="2" applyNumberFormat="1" applyFont="1" applyBorder="1" applyAlignment="1" applyProtection="1">
      <alignment wrapText="1"/>
    </xf>
    <xf numFmtId="0" fontId="9" fillId="0" borderId="1" xfId="2" applyNumberFormat="1" applyFont="1" applyBorder="1" applyAlignment="1" applyProtection="1">
      <alignment wrapText="1"/>
    </xf>
    <xf numFmtId="0" fontId="9" fillId="0" borderId="1" xfId="2" applyNumberFormat="1" applyFont="1" applyBorder="1" applyAlignment="1" applyProtection="1">
      <alignment horizontal="center" wrapText="1"/>
    </xf>
    <xf numFmtId="0" fontId="10" fillId="0" borderId="24" xfId="2" applyNumberFormat="1" applyFont="1" applyBorder="1" applyAlignment="1" applyProtection="1">
      <alignment wrapText="1"/>
    </xf>
    <xf numFmtId="0" fontId="9" fillId="0" borderId="3" xfId="2" applyNumberFormat="1" applyFont="1" applyBorder="1" applyAlignment="1" applyProtection="1">
      <alignment horizontal="right" wrapText="1"/>
    </xf>
    <xf numFmtId="0" fontId="9" fillId="0" borderId="1" xfId="2" applyNumberFormat="1" applyFont="1" applyBorder="1" applyAlignment="1" applyProtection="1">
      <alignment horizontal="right" wrapText="1"/>
    </xf>
    <xf numFmtId="0" fontId="9" fillId="0" borderId="25" xfId="2" applyNumberFormat="1" applyFont="1" applyBorder="1" applyAlignment="1" applyProtection="1">
      <alignment horizontal="right" wrapText="1"/>
    </xf>
    <xf numFmtId="2" fontId="9" fillId="0" borderId="26" xfId="2" applyNumberFormat="1" applyFont="1" applyBorder="1" applyAlignment="1" applyProtection="1">
      <alignment horizontal="right" wrapText="1"/>
    </xf>
    <xf numFmtId="2" fontId="9" fillId="0" borderId="27" xfId="2" applyNumberFormat="1" applyFont="1" applyBorder="1" applyAlignment="1" applyProtection="1">
      <alignment horizontal="right" wrapText="1"/>
    </xf>
    <xf numFmtId="2" fontId="0" fillId="0" borderId="23" xfId="0" applyNumberFormat="1" applyBorder="1"/>
    <xf numFmtId="166" fontId="11" fillId="0" borderId="24" xfId="2" applyNumberFormat="1" applyFont="1" applyBorder="1" applyAlignment="1" applyProtection="1">
      <alignment horizontal="right" wrapText="1"/>
    </xf>
    <xf numFmtId="0" fontId="6" fillId="4" borderId="0" xfId="0" applyFont="1" applyFill="1"/>
    <xf numFmtId="0" fontId="0" fillId="4" borderId="0" xfId="0" applyFill="1"/>
    <xf numFmtId="2" fontId="0" fillId="0" borderId="0" xfId="0" applyNumberFormat="1"/>
    <xf numFmtId="0" fontId="9" fillId="0" borderId="28" xfId="2" applyNumberFormat="1" applyFont="1" applyBorder="1" applyAlignment="1" applyProtection="1">
      <alignment wrapText="1"/>
    </xf>
    <xf numFmtId="0" fontId="9" fillId="0" borderId="29" xfId="2" applyNumberFormat="1" applyFont="1" applyBorder="1" applyAlignment="1" applyProtection="1">
      <alignment wrapText="1"/>
    </xf>
    <xf numFmtId="0" fontId="9" fillId="0" borderId="29" xfId="2" applyNumberFormat="1" applyFont="1" applyBorder="1" applyAlignment="1" applyProtection="1">
      <alignment horizontal="center" wrapText="1"/>
    </xf>
    <xf numFmtId="0" fontId="10" fillId="0" borderId="30" xfId="2" applyNumberFormat="1" applyFont="1" applyBorder="1" applyAlignment="1" applyProtection="1">
      <alignment wrapText="1"/>
    </xf>
    <xf numFmtId="0" fontId="9" fillId="0" borderId="31" xfId="2" applyNumberFormat="1" applyFont="1" applyBorder="1" applyAlignment="1" applyProtection="1">
      <alignment horizontal="right" wrapText="1"/>
    </xf>
    <xf numFmtId="0" fontId="9" fillId="0" borderId="29" xfId="2" applyNumberFormat="1" applyFont="1" applyBorder="1" applyAlignment="1" applyProtection="1">
      <alignment horizontal="right" wrapText="1"/>
    </xf>
    <xf numFmtId="0" fontId="9" fillId="0" borderId="32" xfId="2" applyNumberFormat="1" applyFont="1" applyBorder="1" applyAlignment="1" applyProtection="1">
      <alignment horizontal="right" wrapText="1"/>
    </xf>
    <xf numFmtId="2" fontId="9" fillId="0" borderId="33" xfId="2" applyNumberFormat="1" applyFont="1" applyBorder="1" applyAlignment="1" applyProtection="1">
      <alignment horizontal="right" wrapText="1"/>
    </xf>
    <xf numFmtId="2" fontId="9" fillId="0" borderId="34" xfId="2" applyNumberFormat="1" applyFont="1" applyBorder="1" applyAlignment="1" applyProtection="1">
      <alignment horizontal="right" wrapText="1"/>
    </xf>
    <xf numFmtId="2" fontId="0" fillId="0" borderId="28" xfId="0" applyNumberFormat="1" applyBorder="1"/>
    <xf numFmtId="166" fontId="11" fillId="0" borderId="30" xfId="2" applyNumberFormat="1" applyFont="1" applyBorder="1" applyAlignment="1" applyProtection="1">
      <alignment horizontal="right" wrapText="1"/>
    </xf>
    <xf numFmtId="0" fontId="7" fillId="0" borderId="36" xfId="2" applyNumberFormat="1" applyFont="1" applyBorder="1" applyAlignment="1" applyProtection="1">
      <alignment horizontal="center" wrapText="1"/>
    </xf>
    <xf numFmtId="0" fontId="5" fillId="0" borderId="37" xfId="0" applyFont="1" applyBorder="1"/>
    <xf numFmtId="0" fontId="7" fillId="0" borderId="3" xfId="2" applyNumberFormat="1" applyFont="1" applyBorder="1" applyAlignment="1" applyProtection="1">
      <alignment horizontal="right" wrapText="1"/>
    </xf>
    <xf numFmtId="0" fontId="7" fillId="0" borderId="1" xfId="2" applyNumberFormat="1" applyFont="1" applyBorder="1" applyAlignment="1" applyProtection="1">
      <alignment horizontal="right" wrapText="1"/>
    </xf>
    <xf numFmtId="0" fontId="7" fillId="0" borderId="25" xfId="2" applyNumberFormat="1" applyFont="1" applyBorder="1" applyAlignment="1" applyProtection="1">
      <alignment horizontal="right" wrapText="1"/>
    </xf>
    <xf numFmtId="2" fontId="7" fillId="0" borderId="38" xfId="2" applyNumberFormat="1" applyFont="1" applyBorder="1" applyAlignment="1" applyProtection="1">
      <alignment horizontal="right" wrapText="1"/>
    </xf>
    <xf numFmtId="2" fontId="7" fillId="0" borderId="39" xfId="2" applyNumberFormat="1" applyFont="1" applyBorder="1" applyAlignment="1" applyProtection="1">
      <alignment horizontal="right" wrapText="1"/>
    </xf>
    <xf numFmtId="2" fontId="5" fillId="0" borderId="35" xfId="0" applyNumberFormat="1" applyFont="1" applyBorder="1"/>
    <xf numFmtId="166" fontId="11" fillId="0" borderId="37" xfId="2" applyNumberFormat="1" applyFont="1" applyBorder="1" applyAlignment="1" applyProtection="1">
      <alignment horizontal="right" wrapText="1"/>
    </xf>
    <xf numFmtId="0" fontId="5" fillId="0" borderId="1" xfId="0" applyFont="1" applyBorder="1" applyAlignment="1">
      <alignment vertical="center"/>
    </xf>
    <xf numFmtId="0" fontId="12" fillId="0" borderId="0" xfId="0" applyFont="1"/>
    <xf numFmtId="0" fontId="5" fillId="0" borderId="0" xfId="0" applyFont="1"/>
    <xf numFmtId="0" fontId="9" fillId="5" borderId="40" xfId="2" applyNumberFormat="1" applyFont="1" applyFill="1" applyBorder="1" applyAlignment="1" applyProtection="1">
      <alignment wrapText="1"/>
    </xf>
    <xf numFmtId="0" fontId="9" fillId="5" borderId="40" xfId="2" applyNumberFormat="1" applyFont="1" applyFill="1" applyBorder="1" applyAlignment="1" applyProtection="1">
      <alignment horizontal="center" wrapText="1"/>
    </xf>
    <xf numFmtId="0" fontId="0" fillId="5" borderId="40" xfId="0" applyFill="1" applyBorder="1"/>
    <xf numFmtId="0" fontId="9" fillId="5" borderId="17" xfId="2" applyNumberFormat="1" applyFont="1" applyFill="1" applyBorder="1" applyAlignment="1" applyProtection="1">
      <alignment horizontal="right" wrapText="1"/>
    </xf>
    <xf numFmtId="2" fontId="9" fillId="5" borderId="40" xfId="2" applyNumberFormat="1" applyFont="1" applyFill="1" applyBorder="1" applyAlignment="1" applyProtection="1">
      <alignment horizontal="right" wrapText="1"/>
    </xf>
    <xf numFmtId="2" fontId="9" fillId="5" borderId="41" xfId="2" applyNumberFormat="1" applyFont="1" applyFill="1" applyBorder="1" applyAlignment="1" applyProtection="1">
      <alignment horizontal="right" wrapText="1"/>
    </xf>
    <xf numFmtId="2" fontId="0" fillId="5" borderId="42" xfId="0" applyNumberFormat="1" applyFill="1" applyBorder="1"/>
    <xf numFmtId="166" fontId="11" fillId="5" borderId="43" xfId="2" applyNumberFormat="1" applyFont="1" applyFill="1" applyBorder="1" applyAlignment="1" applyProtection="1">
      <alignment horizontal="right" wrapText="1"/>
    </xf>
    <xf numFmtId="0" fontId="0" fillId="5" borderId="1" xfId="0" applyFill="1" applyBorder="1" applyAlignment="1">
      <alignment vertical="center"/>
    </xf>
    <xf numFmtId="0" fontId="7" fillId="0" borderId="5" xfId="2" applyNumberFormat="1" applyFont="1" applyBorder="1" applyAlignment="1" applyProtection="1">
      <alignment wrapText="1"/>
    </xf>
    <xf numFmtId="0" fontId="9" fillId="0" borderId="6" xfId="2" applyNumberFormat="1" applyFont="1" applyBorder="1" applyAlignment="1" applyProtection="1">
      <alignment wrapText="1"/>
    </xf>
    <xf numFmtId="0" fontId="9" fillId="0" borderId="6" xfId="2" applyNumberFormat="1" applyFont="1" applyBorder="1" applyAlignment="1" applyProtection="1">
      <alignment horizontal="center" wrapText="1"/>
    </xf>
    <xf numFmtId="0" fontId="10" fillId="0" borderId="7" xfId="2" applyNumberFormat="1" applyFont="1" applyBorder="1" applyAlignment="1" applyProtection="1">
      <alignment wrapText="1"/>
    </xf>
    <xf numFmtId="0" fontId="5" fillId="0" borderId="1" xfId="2" applyNumberFormat="1" applyFont="1" applyBorder="1" applyAlignment="1" applyProtection="1">
      <alignment horizontal="right" wrapText="1"/>
    </xf>
    <xf numFmtId="0" fontId="5" fillId="0" borderId="25" xfId="2" applyNumberFormat="1" applyFont="1" applyBorder="1" applyAlignment="1" applyProtection="1">
      <alignment horizontal="right" wrapText="1"/>
    </xf>
    <xf numFmtId="2" fontId="5" fillId="0" borderId="10" xfId="2" applyNumberFormat="1" applyFont="1" applyBorder="1" applyAlignment="1" applyProtection="1">
      <alignment horizontal="right" wrapText="1"/>
    </xf>
    <xf numFmtId="2" fontId="5" fillId="0" borderId="11" xfId="2" applyNumberFormat="1" applyFont="1" applyBorder="1" applyAlignment="1" applyProtection="1">
      <alignment horizontal="right" wrapText="1"/>
    </xf>
    <xf numFmtId="2" fontId="5" fillId="0" borderId="5" xfId="0" applyNumberFormat="1" applyFont="1" applyBorder="1"/>
    <xf numFmtId="166" fontId="11" fillId="0" borderId="7" xfId="2" applyNumberFormat="1" applyFont="1" applyBorder="1" applyAlignment="1" applyProtection="1">
      <alignment horizontal="right" wrapText="1"/>
    </xf>
    <xf numFmtId="0" fontId="9" fillId="5" borderId="17" xfId="2" applyNumberFormat="1" applyFont="1" applyFill="1" applyBorder="1" applyAlignment="1" applyProtection="1">
      <alignment wrapText="1"/>
    </xf>
    <xf numFmtId="0" fontId="9" fillId="5" borderId="17" xfId="2" applyNumberFormat="1" applyFont="1" applyFill="1" applyBorder="1" applyAlignment="1" applyProtection="1">
      <alignment horizontal="center" wrapText="1"/>
    </xf>
    <xf numFmtId="0" fontId="0" fillId="5" borderId="17" xfId="0" applyFill="1" applyBorder="1"/>
    <xf numFmtId="0" fontId="9" fillId="5" borderId="1" xfId="2" applyNumberFormat="1" applyFont="1" applyFill="1" applyBorder="1" applyAlignment="1" applyProtection="1">
      <alignment horizontal="right" wrapText="1"/>
    </xf>
    <xf numFmtId="0" fontId="7" fillId="0" borderId="1" xfId="2" applyNumberFormat="1" applyFont="1" applyBorder="1" applyAlignment="1" applyProtection="1">
      <alignment wrapText="1"/>
    </xf>
    <xf numFmtId="0" fontId="10" fillId="0" borderId="1" xfId="2" applyNumberFormat="1" applyFont="1" applyBorder="1" applyAlignment="1" applyProtection="1">
      <alignment wrapText="1"/>
    </xf>
    <xf numFmtId="2" fontId="7" fillId="0" borderId="19" xfId="2" applyNumberFormat="1" applyFont="1" applyBorder="1" applyAlignment="1" applyProtection="1">
      <alignment horizontal="right" wrapText="1"/>
    </xf>
    <xf numFmtId="2" fontId="7" fillId="0" borderId="20" xfId="2" applyNumberFormat="1" applyFont="1" applyBorder="1" applyAlignment="1" applyProtection="1">
      <alignment horizontal="right" wrapText="1"/>
    </xf>
    <xf numFmtId="2" fontId="5" fillId="6" borderId="5" xfId="0" applyNumberFormat="1" applyFont="1" applyFill="1" applyBorder="1"/>
    <xf numFmtId="166" fontId="11" fillId="6" borderId="7" xfId="2" applyNumberFormat="1" applyFont="1" applyFill="1" applyBorder="1" applyAlignment="1" applyProtection="1">
      <alignment horizontal="right" wrapText="1"/>
    </xf>
    <xf numFmtId="0" fontId="9" fillId="0" borderId="1" xfId="0" applyFont="1" applyBorder="1" applyAlignment="1">
      <alignment horizontal="left" vertical="center" readingOrder="1"/>
    </xf>
    <xf numFmtId="0" fontId="9" fillId="5" borderId="1" xfId="2" applyNumberFormat="1" applyFont="1" applyFill="1" applyBorder="1" applyAlignment="1" applyProtection="1">
      <alignment wrapText="1"/>
    </xf>
    <xf numFmtId="0" fontId="9" fillId="5" borderId="1" xfId="2" applyNumberFormat="1" applyFont="1" applyFill="1" applyBorder="1" applyAlignment="1" applyProtection="1">
      <alignment horizontal="center" wrapText="1"/>
    </xf>
    <xf numFmtId="0" fontId="0" fillId="5" borderId="1" xfId="0" applyFill="1" applyBorder="1"/>
    <xf numFmtId="0" fontId="9" fillId="5" borderId="25" xfId="2" applyNumberFormat="1" applyFont="1" applyFill="1" applyBorder="1" applyAlignment="1" applyProtection="1">
      <alignment horizontal="right" wrapText="1"/>
    </xf>
    <xf numFmtId="2" fontId="9" fillId="5" borderId="33" xfId="2" applyNumberFormat="1" applyFont="1" applyFill="1" applyBorder="1" applyAlignment="1" applyProtection="1">
      <alignment horizontal="right" wrapText="1"/>
    </xf>
    <xf numFmtId="2" fontId="9" fillId="5" borderId="34" xfId="2" applyNumberFormat="1" applyFont="1" applyFill="1" applyBorder="1" applyAlignment="1" applyProtection="1">
      <alignment horizontal="right" wrapText="1"/>
    </xf>
    <xf numFmtId="0" fontId="9" fillId="0" borderId="1" xfId="0" applyFont="1" applyBorder="1" applyAlignment="1">
      <alignment horizontal="right" wrapText="1"/>
    </xf>
    <xf numFmtId="0" fontId="9" fillId="0" borderId="25" xfId="0" applyFont="1" applyBorder="1" applyAlignment="1">
      <alignment horizontal="right" wrapText="1"/>
    </xf>
    <xf numFmtId="2" fontId="9" fillId="0" borderId="19" xfId="0" applyNumberFormat="1" applyFont="1" applyBorder="1" applyAlignment="1">
      <alignment horizontal="right" wrapText="1"/>
    </xf>
    <xf numFmtId="2" fontId="9" fillId="0" borderId="20" xfId="0" applyNumberFormat="1" applyFont="1" applyBorder="1" applyAlignment="1">
      <alignment horizontal="right" wrapText="1"/>
    </xf>
    <xf numFmtId="2" fontId="0" fillId="7" borderId="13" xfId="0" applyNumberFormat="1" applyFill="1" applyBorder="1"/>
    <xf numFmtId="166" fontId="11" fillId="7" borderId="15" xfId="2" applyNumberFormat="1" applyFont="1" applyFill="1" applyBorder="1" applyAlignment="1" applyProtection="1">
      <alignment horizontal="right" wrapText="1"/>
    </xf>
    <xf numFmtId="2" fontId="0" fillId="0" borderId="13" xfId="0" applyNumberFormat="1" applyBorder="1"/>
    <xf numFmtId="166" fontId="11" fillId="0" borderId="15" xfId="2" applyNumberFormat="1" applyFont="1" applyBorder="1" applyAlignment="1" applyProtection="1">
      <alignment horizontal="right" wrapText="1"/>
    </xf>
    <xf numFmtId="2" fontId="9" fillId="0" borderId="26" xfId="0" applyNumberFormat="1" applyFont="1" applyBorder="1" applyAlignment="1">
      <alignment horizontal="right" wrapText="1"/>
    </xf>
    <xf numFmtId="2" fontId="9" fillId="0" borderId="27" xfId="0" applyNumberFormat="1" applyFont="1" applyBorder="1" applyAlignment="1">
      <alignment horizontal="right" wrapText="1"/>
    </xf>
    <xf numFmtId="0" fontId="9" fillId="0" borderId="40" xfId="0" applyFont="1" applyBorder="1" applyAlignment="1">
      <alignment horizontal="left" vertical="center" readingOrder="1"/>
    </xf>
    <xf numFmtId="16" fontId="6" fillId="0" borderId="0" xfId="0" applyNumberFormat="1" applyFont="1"/>
    <xf numFmtId="2" fontId="0" fillId="7" borderId="23" xfId="0" applyNumberFormat="1" applyFill="1" applyBorder="1"/>
    <xf numFmtId="166" fontId="11" fillId="7" borderId="24" xfId="2" applyNumberFormat="1" applyFont="1" applyFill="1" applyBorder="1" applyAlignment="1" applyProtection="1">
      <alignment horizontal="right" wrapText="1"/>
    </xf>
    <xf numFmtId="14" fontId="6" fillId="0" borderId="0" xfId="0" applyNumberFormat="1" applyFont="1"/>
    <xf numFmtId="2" fontId="0" fillId="0" borderId="42" xfId="0" applyNumberFormat="1" applyBorder="1"/>
    <xf numFmtId="0" fontId="9" fillId="0" borderId="17" xfId="0" applyFont="1" applyBorder="1" applyAlignment="1">
      <alignment horizontal="left" vertical="center" readingOrder="1"/>
    </xf>
    <xf numFmtId="0" fontId="5" fillId="0" borderId="1" xfId="0" applyFont="1" applyBorder="1"/>
    <xf numFmtId="167" fontId="5" fillId="0" borderId="1" xfId="0" applyNumberFormat="1" applyFont="1" applyBorder="1"/>
    <xf numFmtId="167" fontId="5" fillId="0" borderId="25" xfId="0" applyNumberFormat="1" applyFont="1" applyBorder="1"/>
    <xf numFmtId="2" fontId="5" fillId="0" borderId="26" xfId="0" applyNumberFormat="1" applyFont="1" applyBorder="1"/>
    <xf numFmtId="2" fontId="5" fillId="0" borderId="27" xfId="0" applyNumberFormat="1" applyFont="1" applyBorder="1"/>
    <xf numFmtId="2" fontId="9" fillId="5" borderId="26" xfId="2" applyNumberFormat="1" applyFont="1" applyFill="1" applyBorder="1" applyAlignment="1" applyProtection="1">
      <alignment horizontal="right" wrapText="1"/>
    </xf>
    <xf numFmtId="2" fontId="9" fillId="5" borderId="27" xfId="2" applyNumberFormat="1" applyFont="1" applyFill="1" applyBorder="1" applyAlignment="1" applyProtection="1">
      <alignment horizontal="right" wrapText="1"/>
    </xf>
    <xf numFmtId="2" fontId="9" fillId="2" borderId="26" xfId="2" applyNumberFormat="1" applyFont="1" applyFill="1" applyBorder="1" applyAlignment="1" applyProtection="1">
      <alignment horizontal="right" wrapText="1"/>
    </xf>
    <xf numFmtId="2" fontId="7" fillId="0" borderId="26" xfId="2" applyNumberFormat="1" applyFont="1" applyBorder="1" applyAlignment="1" applyProtection="1">
      <alignment horizontal="right" wrapText="1"/>
    </xf>
    <xf numFmtId="2" fontId="7" fillId="0" borderId="27" xfId="2" applyNumberFormat="1" applyFont="1" applyBorder="1" applyAlignment="1" applyProtection="1">
      <alignment horizontal="right" wrapText="1"/>
    </xf>
    <xf numFmtId="2" fontId="5" fillId="0" borderId="26" xfId="2" applyNumberFormat="1" applyFont="1" applyBorder="1" applyAlignment="1" applyProtection="1">
      <alignment horizontal="right" wrapText="1"/>
    </xf>
    <xf numFmtId="2" fontId="5" fillId="0" borderId="27" xfId="2" applyNumberFormat="1" applyFont="1" applyBorder="1" applyAlignment="1" applyProtection="1">
      <alignment horizontal="right" wrapText="1"/>
    </xf>
    <xf numFmtId="0" fontId="5" fillId="0" borderId="5" xfId="0" applyFont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2" fontId="0" fillId="0" borderId="27" xfId="2" applyNumberFormat="1" applyFont="1" applyBorder="1" applyAlignment="1" applyProtection="1">
      <alignment horizontal="right" wrapText="1"/>
    </xf>
    <xf numFmtId="0" fontId="6" fillId="0" borderId="24" xfId="0" applyFont="1" applyBorder="1" applyAlignment="1">
      <alignment horizontal="left" vertical="center"/>
    </xf>
    <xf numFmtId="0" fontId="0" fillId="0" borderId="1" xfId="0" applyBorder="1"/>
    <xf numFmtId="0" fontId="5" fillId="0" borderId="0" xfId="0" applyFont="1" applyAlignment="1">
      <alignment vertical="center"/>
    </xf>
    <xf numFmtId="2" fontId="12" fillId="0" borderId="0" xfId="0" applyNumberFormat="1" applyFont="1"/>
    <xf numFmtId="0" fontId="0" fillId="5" borderId="29" xfId="0" applyFill="1" applyBorder="1"/>
    <xf numFmtId="0" fontId="0" fillId="5" borderId="29" xfId="0" applyFill="1" applyBorder="1" applyAlignment="1">
      <alignment horizontal="center"/>
    </xf>
    <xf numFmtId="2" fontId="0" fillId="5" borderId="40" xfId="0" applyNumberFormat="1" applyFill="1" applyBorder="1"/>
    <xf numFmtId="2" fontId="0" fillId="5" borderId="41" xfId="0" applyNumberFormat="1" applyFill="1" applyBorder="1"/>
    <xf numFmtId="0" fontId="14" fillId="0" borderId="6" xfId="2" applyNumberFormat="1" applyFont="1" applyBorder="1" applyAlignment="1" applyProtection="1">
      <alignment horizontal="center" wrapText="1"/>
    </xf>
    <xf numFmtId="0" fontId="5" fillId="0" borderId="7" xfId="0" applyFont="1" applyBorder="1"/>
    <xf numFmtId="0" fontId="5" fillId="0" borderId="3" xfId="2" applyNumberFormat="1" applyFont="1" applyBorder="1" applyAlignment="1" applyProtection="1">
      <alignment horizontal="right" wrapText="1"/>
    </xf>
    <xf numFmtId="167" fontId="5" fillId="0" borderId="1" xfId="2" applyNumberFormat="1" applyFont="1" applyBorder="1" applyAlignment="1" applyProtection="1">
      <alignment horizontal="right" wrapText="1"/>
    </xf>
    <xf numFmtId="167" fontId="5" fillId="0" borderId="25" xfId="2" applyNumberFormat="1" applyFont="1" applyBorder="1" applyAlignment="1" applyProtection="1">
      <alignment horizontal="right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2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/>
    <xf numFmtId="2" fontId="18" fillId="0" borderId="0" xfId="0" applyNumberFormat="1" applyFont="1"/>
    <xf numFmtId="0" fontId="18" fillId="0" borderId="0" xfId="0" applyFont="1"/>
    <xf numFmtId="168" fontId="0" fillId="0" borderId="0" xfId="0" applyNumberFormat="1"/>
    <xf numFmtId="0" fontId="17" fillId="8" borderId="5" xfId="2" applyNumberFormat="1" applyFont="1" applyFill="1" applyBorder="1" applyAlignment="1" applyProtection="1">
      <alignment horizontal="center" vertical="center"/>
    </xf>
    <xf numFmtId="0" fontId="17" fillId="8" borderId="6" xfId="2" applyNumberFormat="1" applyFont="1" applyFill="1" applyBorder="1" applyAlignment="1" applyProtection="1">
      <alignment horizontal="center" vertical="center"/>
    </xf>
    <xf numFmtId="0" fontId="17" fillId="8" borderId="7" xfId="2" applyNumberFormat="1" applyFont="1" applyFill="1" applyBorder="1" applyAlignment="1" applyProtection="1">
      <alignment horizontal="center" vertical="center" wrapText="1"/>
    </xf>
    <xf numFmtId="0" fontId="17" fillId="8" borderId="8" xfId="2" applyNumberFormat="1" applyFont="1" applyFill="1" applyBorder="1" applyAlignment="1" applyProtection="1">
      <alignment horizontal="center" vertical="center" wrapText="1"/>
    </xf>
    <xf numFmtId="0" fontId="17" fillId="8" borderId="6" xfId="2" applyNumberFormat="1" applyFont="1" applyFill="1" applyBorder="1" applyAlignment="1" applyProtection="1">
      <alignment horizontal="center" vertical="center" wrapText="1"/>
    </xf>
    <xf numFmtId="0" fontId="17" fillId="8" borderId="9" xfId="2" applyNumberFormat="1" applyFont="1" applyFill="1" applyBorder="1" applyAlignment="1" applyProtection="1">
      <alignment horizontal="center" vertical="center" wrapText="1"/>
    </xf>
    <xf numFmtId="0" fontId="17" fillId="8" borderId="10" xfId="2" applyNumberFormat="1" applyFont="1" applyFill="1" applyBorder="1" applyAlignment="1" applyProtection="1">
      <alignment horizontal="center" vertical="center" wrapText="1"/>
    </xf>
    <xf numFmtId="0" fontId="17" fillId="8" borderId="11" xfId="2" applyNumberFormat="1" applyFont="1" applyFill="1" applyBorder="1" applyAlignment="1" applyProtection="1">
      <alignment horizontal="center" vertical="center" wrapText="1"/>
    </xf>
    <xf numFmtId="165" fontId="17" fillId="8" borderId="11" xfId="0" applyNumberFormat="1" applyFont="1" applyFill="1" applyBorder="1" applyAlignment="1">
      <alignment vertical="center"/>
    </xf>
    <xf numFmtId="14" fontId="17" fillId="8" borderId="12" xfId="0" applyNumberFormat="1" applyFont="1" applyFill="1" applyBorder="1" applyAlignment="1">
      <alignment vertical="center"/>
    </xf>
    <xf numFmtId="0" fontId="5" fillId="8" borderId="44" xfId="0" applyFont="1" applyFill="1" applyBorder="1" applyAlignment="1">
      <alignment horizontal="center" vertical="center"/>
    </xf>
    <xf numFmtId="0" fontId="12" fillId="8" borderId="45" xfId="2" applyNumberFormat="1" applyFont="1" applyFill="1" applyBorder="1" applyAlignment="1" applyProtection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17" xfId="0" applyFont="1" applyBorder="1" applyAlignment="1">
      <alignment horizontal="left" vertical="center"/>
    </xf>
    <xf numFmtId="0" fontId="19" fillId="0" borderId="17" xfId="0" applyFont="1" applyBorder="1" applyAlignment="1">
      <alignment horizontal="center" vertical="center"/>
    </xf>
    <xf numFmtId="0" fontId="19" fillId="0" borderId="22" xfId="2" applyNumberFormat="1" applyFont="1" applyBorder="1" applyAlignment="1" applyProtection="1">
      <alignment wrapText="1"/>
    </xf>
    <xf numFmtId="2" fontId="19" fillId="0" borderId="46" xfId="0" applyNumberFormat="1" applyFont="1" applyBorder="1" applyAlignment="1">
      <alignment horizontal="right" vertical="center"/>
    </xf>
    <xf numFmtId="2" fontId="19" fillId="9" borderId="46" xfId="0" applyNumberFormat="1" applyFont="1" applyFill="1" applyBorder="1" applyAlignment="1">
      <alignment horizontal="right" vertical="center"/>
    </xf>
    <xf numFmtId="166" fontId="11" fillId="9" borderId="24" xfId="1" applyNumberFormat="1" applyFont="1" applyFill="1" applyBorder="1" applyAlignment="1" applyProtection="1">
      <alignment horizontal="right" vertical="center"/>
    </xf>
    <xf numFmtId="2" fontId="19" fillId="0" borderId="23" xfId="0" applyNumberFormat="1" applyFont="1" applyBorder="1" applyAlignment="1">
      <alignment horizontal="right" vertical="center"/>
    </xf>
    <xf numFmtId="2" fontId="0" fillId="0" borderId="23" xfId="0" applyNumberFormat="1" applyBorder="1" applyAlignment="1">
      <alignment vertical="center"/>
    </xf>
    <xf numFmtId="166" fontId="11" fillId="9" borderId="25" xfId="1" applyNumberFormat="1" applyFont="1" applyFill="1" applyBorder="1" applyAlignment="1" applyProtection="1">
      <alignment horizontal="right" vertical="center"/>
    </xf>
    <xf numFmtId="0" fontId="0" fillId="0" borderId="13" xfId="0" applyBorder="1" applyAlignment="1">
      <alignment vertical="center"/>
    </xf>
    <xf numFmtId="0" fontId="19" fillId="0" borderId="16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19" fillId="0" borderId="18" xfId="0" applyFont="1" applyBorder="1" applyAlignment="1">
      <alignment horizontal="right" vertical="center"/>
    </xf>
    <xf numFmtId="2" fontId="19" fillId="0" borderId="47" xfId="0" applyNumberFormat="1" applyFont="1" applyBorder="1" applyAlignment="1">
      <alignment horizontal="right" vertical="center"/>
    </xf>
    <xf numFmtId="166" fontId="11" fillId="0" borderId="24" xfId="1" applyNumberFormat="1" applyFont="1" applyBorder="1" applyAlignment="1" applyProtection="1">
      <alignment horizontal="right" vertical="center"/>
    </xf>
    <xf numFmtId="0" fontId="9" fillId="0" borderId="23" xfId="0" applyFont="1" applyBorder="1" applyAlignment="1">
      <alignment horizontal="left" vertical="center" readingOrder="1"/>
    </xf>
    <xf numFmtId="0" fontId="19" fillId="0" borderId="23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24" xfId="2" applyNumberFormat="1" applyFont="1" applyBorder="1" applyAlignment="1" applyProtection="1">
      <alignment vertical="center" wrapText="1"/>
    </xf>
    <xf numFmtId="0" fontId="19" fillId="0" borderId="3" xfId="0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19" fillId="0" borderId="25" xfId="0" applyFont="1" applyBorder="1" applyAlignment="1">
      <alignment horizontal="right" vertical="center"/>
    </xf>
    <xf numFmtId="2" fontId="19" fillId="0" borderId="26" xfId="0" applyNumberFormat="1" applyFont="1" applyBorder="1" applyAlignment="1">
      <alignment horizontal="right" vertical="center"/>
    </xf>
    <xf numFmtId="2" fontId="19" fillId="0" borderId="27" xfId="0" applyNumberFormat="1" applyFont="1" applyBorder="1" applyAlignment="1">
      <alignment horizontal="right" vertical="center"/>
    </xf>
    <xf numFmtId="2" fontId="19" fillId="10" borderId="23" xfId="0" applyNumberFormat="1" applyFont="1" applyFill="1" applyBorder="1" applyAlignment="1">
      <alignment horizontal="right" vertical="center"/>
    </xf>
    <xf numFmtId="2" fontId="19" fillId="10" borderId="25" xfId="0" applyNumberFormat="1" applyFont="1" applyFill="1" applyBorder="1" applyAlignment="1">
      <alignment horizontal="right" vertical="center"/>
    </xf>
    <xf numFmtId="0" fontId="0" fillId="0" borderId="23" xfId="0" applyBorder="1" applyAlignment="1">
      <alignment vertical="center"/>
    </xf>
    <xf numFmtId="0" fontId="6" fillId="0" borderId="24" xfId="0" applyFont="1" applyBorder="1" applyAlignment="1">
      <alignment horizontal="left" vertical="center" wrapText="1"/>
    </xf>
    <xf numFmtId="0" fontId="19" fillId="0" borderId="24" xfId="2" applyNumberFormat="1" applyFont="1" applyBorder="1" applyAlignment="1" applyProtection="1">
      <alignment wrapText="1"/>
    </xf>
    <xf numFmtId="2" fontId="19" fillId="4" borderId="27" xfId="0" applyNumberFormat="1" applyFont="1" applyFill="1" applyBorder="1" applyAlignment="1">
      <alignment horizontal="right" vertical="center"/>
    </xf>
    <xf numFmtId="2" fontId="19" fillId="7" borderId="46" xfId="0" applyNumberFormat="1" applyFont="1" applyFill="1" applyBorder="1" applyAlignment="1">
      <alignment horizontal="right" vertical="center"/>
    </xf>
    <xf numFmtId="166" fontId="11" fillId="7" borderId="24" xfId="1" applyNumberFormat="1" applyFont="1" applyFill="1" applyBorder="1" applyAlignment="1" applyProtection="1">
      <alignment horizontal="right" vertical="center"/>
    </xf>
    <xf numFmtId="2" fontId="19" fillId="7" borderId="23" xfId="0" applyNumberFormat="1" applyFont="1" applyFill="1" applyBorder="1" applyAlignment="1">
      <alignment horizontal="right" vertical="center"/>
    </xf>
    <xf numFmtId="2" fontId="19" fillId="11" borderId="23" xfId="0" applyNumberFormat="1" applyFont="1" applyFill="1" applyBorder="1" applyAlignment="1">
      <alignment horizontal="right" vertical="center"/>
    </xf>
    <xf numFmtId="166" fontId="11" fillId="11" borderId="24" xfId="1" applyNumberFormat="1" applyFont="1" applyFill="1" applyBorder="1" applyAlignment="1" applyProtection="1">
      <alignment horizontal="right" vertical="center"/>
    </xf>
    <xf numFmtId="2" fontId="19" fillId="6" borderId="23" xfId="0" applyNumberFormat="1" applyFont="1" applyFill="1" applyBorder="1" applyAlignment="1">
      <alignment horizontal="right" vertical="center"/>
    </xf>
    <xf numFmtId="166" fontId="11" fillId="6" borderId="24" xfId="1" applyNumberFormat="1" applyFont="1" applyFill="1" applyBorder="1" applyAlignment="1" applyProtection="1">
      <alignment horizontal="right" vertical="center"/>
    </xf>
    <xf numFmtId="2" fontId="0" fillId="6" borderId="23" xfId="0" applyNumberFormat="1" applyFill="1" applyBorder="1"/>
    <xf numFmtId="2" fontId="19" fillId="6" borderId="25" xfId="0" applyNumberFormat="1" applyFont="1" applyFill="1" applyBorder="1" applyAlignment="1">
      <alignment horizontal="right" vertical="center"/>
    </xf>
    <xf numFmtId="0" fontId="0" fillId="11" borderId="23" xfId="0" applyFill="1" applyBorder="1" applyAlignment="1">
      <alignment vertical="center"/>
    </xf>
    <xf numFmtId="0" fontId="6" fillId="11" borderId="24" xfId="0" applyFont="1" applyFill="1" applyBorder="1" applyAlignment="1">
      <alignment horizontal="left" vertical="center"/>
    </xf>
    <xf numFmtId="0" fontId="0" fillId="11" borderId="0" xfId="0" applyFill="1" applyAlignment="1">
      <alignment horizontal="center" vertical="center"/>
    </xf>
    <xf numFmtId="0" fontId="19" fillId="0" borderId="23" xfId="0" applyFont="1" applyBorder="1" applyAlignment="1">
      <alignment horizontal="center" vertical="center" wrapText="1"/>
    </xf>
    <xf numFmtId="166" fontId="11" fillId="0" borderId="25" xfId="1" applyNumberFormat="1" applyFont="1" applyBorder="1" applyAlignment="1" applyProtection="1">
      <alignment horizontal="right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left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2" applyNumberFormat="1" applyFont="1" applyBorder="1" applyAlignment="1" applyProtection="1">
      <alignment wrapText="1"/>
    </xf>
    <xf numFmtId="0" fontId="19" fillId="0" borderId="31" xfId="0" applyFont="1" applyBorder="1" applyAlignment="1">
      <alignment horizontal="right" vertical="center"/>
    </xf>
    <xf numFmtId="0" fontId="19" fillId="0" borderId="29" xfId="0" applyFont="1" applyBorder="1" applyAlignment="1">
      <alignment horizontal="right" vertical="center"/>
    </xf>
    <xf numFmtId="0" fontId="19" fillId="0" borderId="32" xfId="0" applyFont="1" applyBorder="1" applyAlignment="1">
      <alignment horizontal="right" vertical="center"/>
    </xf>
    <xf numFmtId="2" fontId="19" fillId="0" borderId="33" xfId="0" applyNumberFormat="1" applyFont="1" applyBorder="1" applyAlignment="1">
      <alignment horizontal="right" vertical="center"/>
    </xf>
    <xf numFmtId="2" fontId="19" fillId="0" borderId="34" xfId="0" applyNumberFormat="1" applyFont="1" applyBorder="1" applyAlignment="1">
      <alignment horizontal="right" vertical="center"/>
    </xf>
    <xf numFmtId="2" fontId="19" fillId="7" borderId="35" xfId="0" applyNumberFormat="1" applyFont="1" applyFill="1" applyBorder="1" applyAlignment="1">
      <alignment horizontal="right" vertical="center"/>
    </xf>
    <xf numFmtId="2" fontId="19" fillId="0" borderId="35" xfId="0" applyNumberFormat="1" applyFont="1" applyBorder="1" applyAlignment="1">
      <alignment horizontal="right" vertical="center"/>
    </xf>
    <xf numFmtId="2" fontId="19" fillId="10" borderId="35" xfId="0" applyNumberFormat="1" applyFont="1" applyFill="1" applyBorder="1" applyAlignment="1">
      <alignment horizontal="right" vertical="center"/>
    </xf>
    <xf numFmtId="2" fontId="19" fillId="10" borderId="48" xfId="0" applyNumberFormat="1" applyFont="1" applyFill="1" applyBorder="1" applyAlignment="1">
      <alignment horizontal="right" vertical="center"/>
    </xf>
    <xf numFmtId="0" fontId="9" fillId="0" borderId="35" xfId="0" applyFont="1" applyBorder="1" applyAlignment="1">
      <alignment horizontal="left" vertical="center" readingOrder="1"/>
    </xf>
    <xf numFmtId="0" fontId="6" fillId="0" borderId="37" xfId="0" applyFont="1" applyBorder="1" applyAlignment="1">
      <alignment horizontal="left" vertical="center" wrapText="1"/>
    </xf>
    <xf numFmtId="0" fontId="19" fillId="5" borderId="42" xfId="0" applyFont="1" applyFill="1" applyBorder="1" applyAlignment="1">
      <alignment horizontal="center" vertical="center"/>
    </xf>
    <xf numFmtId="0" fontId="19" fillId="5" borderId="40" xfId="0" applyFont="1" applyFill="1" applyBorder="1" applyAlignment="1">
      <alignment horizontal="center" vertical="center"/>
    </xf>
    <xf numFmtId="0" fontId="19" fillId="5" borderId="41" xfId="2" applyNumberFormat="1" applyFont="1" applyFill="1" applyBorder="1" applyAlignment="1" applyProtection="1">
      <alignment wrapText="1"/>
    </xf>
    <xf numFmtId="0" fontId="19" fillId="5" borderId="49" xfId="0" applyFont="1" applyFill="1" applyBorder="1" applyAlignment="1">
      <alignment horizontal="right" vertical="center"/>
    </xf>
    <xf numFmtId="0" fontId="19" fillId="5" borderId="40" xfId="0" applyFont="1" applyFill="1" applyBorder="1" applyAlignment="1">
      <alignment horizontal="right" vertical="center"/>
    </xf>
    <xf numFmtId="0" fontId="19" fillId="5" borderId="41" xfId="0" applyFont="1" applyFill="1" applyBorder="1" applyAlignment="1">
      <alignment horizontal="right" vertical="center"/>
    </xf>
    <xf numFmtId="2" fontId="19" fillId="5" borderId="0" xfId="0" applyNumberFormat="1" applyFont="1" applyFill="1" applyAlignment="1">
      <alignment horizontal="right" vertical="center"/>
    </xf>
    <xf numFmtId="2" fontId="19" fillId="5" borderId="42" xfId="0" applyNumberFormat="1" applyFont="1" applyFill="1" applyBorder="1" applyAlignment="1">
      <alignment horizontal="right" vertical="center"/>
    </xf>
    <xf numFmtId="166" fontId="11" fillId="5" borderId="43" xfId="1" applyNumberFormat="1" applyFont="1" applyFill="1" applyBorder="1" applyAlignment="1" applyProtection="1">
      <alignment horizontal="right" vertical="center"/>
    </xf>
    <xf numFmtId="0" fontId="9" fillId="0" borderId="0" xfId="0" applyFont="1" applyAlignment="1">
      <alignment horizontal="left" vertical="center" readingOrder="1"/>
    </xf>
    <xf numFmtId="0" fontId="6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/>
    <xf numFmtId="169" fontId="17" fillId="0" borderId="6" xfId="0" applyNumberFormat="1" applyFont="1" applyBorder="1" applyAlignment="1">
      <alignment horizontal="right" vertical="center"/>
    </xf>
    <xf numFmtId="2" fontId="17" fillId="0" borderId="9" xfId="0" applyNumberFormat="1" applyFont="1" applyBorder="1" applyAlignment="1">
      <alignment horizontal="right" vertical="center"/>
    </xf>
    <xf numFmtId="2" fontId="19" fillId="10" borderId="5" xfId="0" applyNumberFormat="1" applyFont="1" applyFill="1" applyBorder="1" applyAlignment="1">
      <alignment horizontal="right" vertical="center"/>
    </xf>
    <xf numFmtId="2" fontId="19" fillId="10" borderId="7" xfId="0" applyNumberFormat="1" applyFont="1" applyFill="1" applyBorder="1" applyAlignment="1">
      <alignment horizontal="right" vertical="center"/>
    </xf>
    <xf numFmtId="2" fontId="19" fillId="0" borderId="5" xfId="0" applyNumberFormat="1" applyFont="1" applyBorder="1" applyAlignment="1">
      <alignment horizontal="right" vertical="center"/>
    </xf>
    <xf numFmtId="166" fontId="11" fillId="0" borderId="7" xfId="1" applyNumberFormat="1" applyFont="1" applyBorder="1" applyAlignment="1" applyProtection="1">
      <alignment horizontal="right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6" fontId="11" fillId="0" borderId="0" xfId="1" applyNumberFormat="1" applyFont="1" applyBorder="1" applyAlignment="1" applyProtection="1">
      <alignment horizontal="right" vertical="center"/>
    </xf>
    <xf numFmtId="2" fontId="19" fillId="0" borderId="0" xfId="0" applyNumberFormat="1" applyFont="1" applyAlignment="1">
      <alignment horizontal="right" vertical="center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50" xfId="0" applyFont="1" applyFill="1" applyBorder="1"/>
    <xf numFmtId="2" fontId="5" fillId="4" borderId="0" xfId="0" applyNumberFormat="1" applyFont="1" applyFill="1"/>
    <xf numFmtId="0" fontId="0" fillId="0" borderId="50" xfId="0" applyBorder="1"/>
    <xf numFmtId="49" fontId="5" fillId="3" borderId="12" xfId="2" applyNumberFormat="1" applyFont="1" applyFill="1" applyBorder="1" applyAlignment="1" applyProtection="1">
      <alignment horizontal="right" vertical="center"/>
    </xf>
    <xf numFmtId="2" fontId="0" fillId="0" borderId="5" xfId="0" applyNumberFormat="1" applyBorder="1"/>
    <xf numFmtId="166" fontId="11" fillId="0" borderId="0" xfId="2" applyNumberFormat="1" applyFont="1" applyBorder="1" applyAlignment="1" applyProtection="1">
      <alignment horizontal="right" wrapText="1"/>
    </xf>
    <xf numFmtId="0" fontId="14" fillId="10" borderId="9" xfId="2" applyNumberFormat="1" applyFont="1" applyFill="1" applyBorder="1" applyAlignment="1" applyProtection="1">
      <alignment horizontal="center" wrapText="1"/>
    </xf>
    <xf numFmtId="166" fontId="20" fillId="0" borderId="9" xfId="2" applyNumberFormat="1" applyFont="1" applyBorder="1" applyAlignment="1" applyProtection="1">
      <alignment horizontal="right" vertical="top" wrapText="1"/>
    </xf>
    <xf numFmtId="166" fontId="20" fillId="0" borderId="37" xfId="2" applyNumberFormat="1" applyFont="1" applyBorder="1" applyAlignment="1" applyProtection="1">
      <alignment horizontal="right" vertical="top" wrapText="1"/>
    </xf>
    <xf numFmtId="0" fontId="14" fillId="0" borderId="6" xfId="2" applyNumberFormat="1" applyFont="1" applyBorder="1" applyAlignment="1" applyProtection="1">
      <alignment horizontal="center" vertical="top" wrapText="1"/>
    </xf>
    <xf numFmtId="2" fontId="5" fillId="0" borderId="10" xfId="2" applyNumberFormat="1" applyFont="1" applyBorder="1" applyAlignment="1" applyProtection="1">
      <alignment horizontal="right" vertical="top" wrapText="1"/>
    </xf>
    <xf numFmtId="166" fontId="20" fillId="0" borderId="48" xfId="2" applyNumberFormat="1" applyFont="1" applyBorder="1" applyAlignment="1" applyProtection="1">
      <alignment horizontal="right" vertical="top" wrapText="1"/>
    </xf>
    <xf numFmtId="166" fontId="20" fillId="10" borderId="37" xfId="2" applyNumberFormat="1" applyFont="1" applyFill="1" applyBorder="1" applyAlignment="1" applyProtection="1">
      <alignment horizontal="right" vertical="top" wrapText="1"/>
    </xf>
    <xf numFmtId="166" fontId="20" fillId="0" borderId="51" xfId="2" applyNumberFormat="1" applyFont="1" applyBorder="1" applyAlignment="1" applyProtection="1">
      <alignment horizontal="right" vertical="top" wrapText="1"/>
    </xf>
    <xf numFmtId="166" fontId="20" fillId="0" borderId="7" xfId="2" applyNumberFormat="1" applyFont="1" applyBorder="1" applyAlignment="1" applyProtection="1">
      <alignment horizontal="right" vertical="top" wrapText="1"/>
    </xf>
    <xf numFmtId="0" fontId="14" fillId="10" borderId="9" xfId="2" applyNumberFormat="1" applyFont="1" applyFill="1" applyBorder="1" applyAlignment="1" applyProtection="1">
      <alignment horizontal="center" vertical="top" wrapText="1"/>
    </xf>
    <xf numFmtId="2" fontId="5" fillId="0" borderId="5" xfId="2" applyNumberFormat="1" applyFont="1" applyBorder="1" applyProtection="1"/>
    <xf numFmtId="166" fontId="11" fillId="0" borderId="52" xfId="2" applyNumberFormat="1" applyFont="1" applyBorder="1" applyAlignment="1" applyProtection="1">
      <alignment horizontal="right" wrapText="1"/>
    </xf>
    <xf numFmtId="0" fontId="0" fillId="0" borderId="0" xfId="2" applyNumberFormat="1" applyFont="1" applyBorder="1" applyProtection="1"/>
    <xf numFmtId="0" fontId="15" fillId="0" borderId="0" xfId="2" applyNumberFormat="1" applyFont="1" applyBorder="1" applyAlignment="1" applyProtection="1">
      <alignment vertical="center"/>
    </xf>
    <xf numFmtId="0" fontId="14" fillId="0" borderId="0" xfId="2" applyNumberFormat="1" applyFont="1" applyBorder="1" applyAlignment="1" applyProtection="1">
      <alignment horizontal="center" wrapText="1"/>
    </xf>
    <xf numFmtId="2" fontId="5" fillId="0" borderId="0" xfId="2" applyNumberFormat="1" applyFont="1" applyBorder="1" applyAlignment="1" applyProtection="1">
      <alignment horizontal="right" wrapText="1"/>
    </xf>
    <xf numFmtId="2" fontId="5" fillId="0" borderId="0" xfId="2" applyNumberFormat="1" applyFont="1" applyBorder="1" applyProtection="1"/>
    <xf numFmtId="2" fontId="5" fillId="0" borderId="53" xfId="2" applyNumberFormat="1" applyFont="1" applyBorder="1" applyProtection="1"/>
    <xf numFmtId="166" fontId="11" fillId="0" borderId="50" xfId="2" applyNumberFormat="1" applyFont="1" applyBorder="1" applyAlignment="1" applyProtection="1">
      <alignment horizontal="right" wrapText="1"/>
    </xf>
    <xf numFmtId="0" fontId="5" fillId="0" borderId="0" xfId="2" applyNumberFormat="1" applyFont="1" applyBorder="1" applyProtection="1"/>
    <xf numFmtId="0" fontId="18" fillId="0" borderId="0" xfId="0" applyFont="1" applyAlignment="1">
      <alignment horizontal="center"/>
    </xf>
    <xf numFmtId="0" fontId="18" fillId="0" borderId="4" xfId="0" applyFont="1" applyBorder="1"/>
    <xf numFmtId="16" fontId="0" fillId="10" borderId="1" xfId="0" applyNumberFormat="1" applyFill="1" applyBorder="1"/>
    <xf numFmtId="16" fontId="0" fillId="0" borderId="0" xfId="0" applyNumberFormat="1"/>
    <xf numFmtId="166" fontId="0" fillId="0" borderId="1" xfId="0" applyNumberFormat="1" applyBorder="1"/>
    <xf numFmtId="166" fontId="0" fillId="0" borderId="0" xfId="0" applyNumberFormat="1"/>
    <xf numFmtId="0" fontId="21" fillId="10" borderId="0" xfId="2" applyNumberFormat="1" applyFont="1" applyFill="1" applyBorder="1" applyAlignment="1" applyProtection="1">
      <alignment horizontal="center" wrapText="1"/>
    </xf>
    <xf numFmtId="166" fontId="22" fillId="0" borderId="0" xfId="0" applyNumberFormat="1" applyFont="1"/>
    <xf numFmtId="49" fontId="5" fillId="3" borderId="0" xfId="2" applyNumberFormat="1" applyFont="1" applyFill="1" applyBorder="1" applyAlignment="1" applyProtection="1">
      <alignment horizontal="right" vertical="center"/>
    </xf>
    <xf numFmtId="0" fontId="19" fillId="0" borderId="6" xfId="0" applyFont="1" applyBorder="1"/>
    <xf numFmtId="2" fontId="17" fillId="0" borderId="5" xfId="0" applyNumberFormat="1" applyFont="1" applyBorder="1" applyAlignment="1">
      <alignment horizontal="right" vertical="center"/>
    </xf>
    <xf numFmtId="169" fontId="17" fillId="10" borderId="5" xfId="0" applyNumberFormat="1" applyFont="1" applyFill="1" applyBorder="1" applyAlignment="1">
      <alignment horizontal="right" vertical="center"/>
    </xf>
    <xf numFmtId="166" fontId="11" fillId="10" borderId="7" xfId="1" applyNumberFormat="1" applyFont="1" applyFill="1" applyBorder="1" applyAlignment="1" applyProtection="1">
      <alignment horizontal="right" vertical="center"/>
    </xf>
    <xf numFmtId="2" fontId="17" fillId="10" borderId="5" xfId="0" applyNumberFormat="1" applyFont="1" applyFill="1" applyBorder="1" applyAlignment="1">
      <alignment horizontal="right" vertical="center"/>
    </xf>
    <xf numFmtId="0" fontId="23" fillId="0" borderId="6" xfId="0" applyFont="1" applyBorder="1"/>
    <xf numFmtId="2" fontId="23" fillId="0" borderId="9" xfId="0" applyNumberFormat="1" applyFont="1" applyBorder="1" applyAlignment="1">
      <alignment horizontal="right"/>
    </xf>
    <xf numFmtId="2" fontId="23" fillId="10" borderId="5" xfId="0" applyNumberFormat="1" applyFont="1" applyFill="1" applyBorder="1" applyAlignment="1">
      <alignment horizontal="right"/>
    </xf>
    <xf numFmtId="166" fontId="24" fillId="10" borderId="9" xfId="2" applyNumberFormat="1" applyFont="1" applyFill="1" applyBorder="1" applyAlignment="1" applyProtection="1">
      <alignment horizontal="right"/>
    </xf>
    <xf numFmtId="166" fontId="24" fillId="10" borderId="5" xfId="2" applyNumberFormat="1" applyFont="1" applyFill="1" applyBorder="1" applyAlignment="1" applyProtection="1">
      <alignment horizontal="right"/>
    </xf>
    <xf numFmtId="166" fontId="24" fillId="10" borderId="12" xfId="2" applyNumberFormat="1" applyFont="1" applyFill="1" applyBorder="1" applyAlignment="1" applyProtection="1">
      <alignment horizontal="right"/>
    </xf>
    <xf numFmtId="166" fontId="24" fillId="10" borderId="52" xfId="2" applyNumberFormat="1" applyFont="1" applyFill="1" applyBorder="1" applyAlignment="1" applyProtection="1">
      <alignment horizontal="right"/>
    </xf>
    <xf numFmtId="2" fontId="23" fillId="0" borderId="5" xfId="0" applyNumberFormat="1" applyFont="1" applyBorder="1"/>
    <xf numFmtId="166" fontId="24" fillId="0" borderId="37" xfId="2" applyNumberFormat="1" applyFont="1" applyBorder="1" applyAlignment="1" applyProtection="1">
      <alignment horizontal="right" vertical="top" wrapText="1"/>
    </xf>
    <xf numFmtId="2" fontId="23" fillId="10" borderId="5" xfId="0" applyNumberFormat="1" applyFont="1" applyFill="1" applyBorder="1"/>
    <xf numFmtId="166" fontId="24" fillId="10" borderId="48" xfId="2" applyNumberFormat="1" applyFont="1" applyFill="1" applyBorder="1" applyAlignment="1" applyProtection="1">
      <alignment horizontal="right" vertical="top" wrapText="1"/>
    </xf>
    <xf numFmtId="166" fontId="24" fillId="10" borderId="0" xfId="2" applyNumberFormat="1" applyFont="1" applyFill="1" applyBorder="1" applyAlignment="1" applyProtection="1">
      <alignment horizontal="right" vertical="top" wrapText="1"/>
    </xf>
    <xf numFmtId="0" fontId="17" fillId="0" borderId="6" xfId="2" applyNumberFormat="1" applyFont="1" applyBorder="1" applyProtection="1"/>
    <xf numFmtId="2" fontId="17" fillId="0" borderId="9" xfId="2" applyNumberFormat="1" applyFont="1" applyBorder="1" applyAlignment="1" applyProtection="1">
      <alignment horizontal="right" vertical="center"/>
    </xf>
    <xf numFmtId="2" fontId="17" fillId="10" borderId="5" xfId="2" applyNumberFormat="1" applyFont="1" applyFill="1" applyBorder="1" applyProtection="1"/>
    <xf numFmtId="166" fontId="11" fillId="10" borderId="37" xfId="2" applyNumberFormat="1" applyFont="1" applyFill="1" applyBorder="1" applyAlignment="1" applyProtection="1">
      <alignment horizontal="right" wrapText="1"/>
    </xf>
    <xf numFmtId="2" fontId="17" fillId="0" borderId="5" xfId="2" applyNumberFormat="1" applyFont="1" applyBorder="1" applyProtection="1"/>
    <xf numFmtId="2" fontId="19" fillId="10" borderId="28" xfId="2" applyNumberFormat="1" applyFont="1" applyFill="1" applyBorder="1" applyAlignment="1" applyProtection="1">
      <alignment horizontal="right" vertical="center"/>
    </xf>
    <xf numFmtId="2" fontId="19" fillId="10" borderId="0" xfId="2" applyNumberFormat="1" applyFont="1" applyFill="1" applyBorder="1" applyAlignment="1" applyProtection="1">
      <alignment horizontal="right" vertical="center"/>
    </xf>
    <xf numFmtId="2" fontId="19" fillId="10" borderId="42" xfId="2" applyNumberFormat="1" applyFont="1" applyFill="1" applyBorder="1" applyAlignment="1" applyProtection="1">
      <alignment horizontal="right" vertical="center"/>
    </xf>
    <xf numFmtId="2" fontId="19" fillId="10" borderId="54" xfId="2" applyNumberFormat="1" applyFont="1" applyFill="1" applyBorder="1" applyAlignment="1" applyProtection="1">
      <alignment horizontal="right" vertical="center"/>
    </xf>
    <xf numFmtId="0" fontId="25" fillId="10" borderId="9" xfId="2" applyNumberFormat="1" applyFont="1" applyFill="1" applyBorder="1" applyAlignment="1" applyProtection="1">
      <alignment horizontal="center" vertical="top" wrapText="1"/>
    </xf>
    <xf numFmtId="0" fontId="5" fillId="0" borderId="0" xfId="0" applyFont="1" applyAlignment="1">
      <alignment horizontal="center"/>
    </xf>
    <xf numFmtId="167" fontId="0" fillId="0" borderId="0" xfId="0" applyNumberFormat="1"/>
    <xf numFmtId="0" fontId="0" fillId="12" borderId="1" xfId="0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166" fontId="5" fillId="10" borderId="1" xfId="0" applyNumberFormat="1" applyFont="1" applyFill="1" applyBorder="1" applyAlignment="1">
      <alignment horizontal="center" vertical="center" wrapText="1"/>
    </xf>
    <xf numFmtId="166" fontId="0" fillId="10" borderId="1" xfId="0" applyNumberForma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10" borderId="1" xfId="0" applyFill="1" applyBorder="1"/>
    <xf numFmtId="2" fontId="5" fillId="10" borderId="1" xfId="0" applyNumberFormat="1" applyFon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167" fontId="0" fillId="0" borderId="1" xfId="0" applyNumberFormat="1" applyBorder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7" fontId="0" fillId="10" borderId="1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7" fontId="5" fillId="0" borderId="0" xfId="0" applyNumberFormat="1" applyFont="1" applyAlignment="1">
      <alignment horizontal="left"/>
    </xf>
    <xf numFmtId="166" fontId="0" fillId="0" borderId="0" xfId="0" applyNumberFormat="1" applyAlignment="1">
      <alignment horizontal="center"/>
    </xf>
    <xf numFmtId="166" fontId="5" fillId="10" borderId="1" xfId="0" applyNumberFormat="1" applyFont="1" applyFill="1" applyBorder="1" applyAlignment="1">
      <alignment horizontal="center"/>
    </xf>
    <xf numFmtId="166" fontId="0" fillId="10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2" fontId="0" fillId="0" borderId="0" xfId="0" applyNumberFormat="1" applyAlignment="1">
      <alignment horizontal="center" vertical="center" wrapText="1"/>
    </xf>
    <xf numFmtId="167" fontId="5" fillId="0" borderId="0" xfId="0" applyNumberFormat="1" applyFont="1" applyAlignment="1">
      <alignment horizontal="right"/>
    </xf>
    <xf numFmtId="167" fontId="5" fillId="0" borderId="0" xfId="0" applyNumberFormat="1" applyFont="1"/>
    <xf numFmtId="2" fontId="5" fillId="0" borderId="0" xfId="0" applyNumberFormat="1" applyFont="1"/>
    <xf numFmtId="167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0" fontId="7" fillId="3" borderId="55" xfId="0" applyFont="1" applyFill="1" applyBorder="1" applyAlignment="1">
      <alignment horizontal="center" vertical="center" wrapText="1"/>
    </xf>
    <xf numFmtId="0" fontId="9" fillId="0" borderId="56" xfId="0" applyFont="1" applyBorder="1" applyAlignment="1">
      <alignment horizontal="left" wrapText="1"/>
    </xf>
    <xf numFmtId="0" fontId="9" fillId="0" borderId="56" xfId="0" applyFont="1" applyBorder="1" applyAlignment="1">
      <alignment horizontal="center" wrapText="1"/>
    </xf>
    <xf numFmtId="0" fontId="0" fillId="0" borderId="57" xfId="0" applyBorder="1" applyAlignment="1">
      <alignment horizontal="right" wrapText="1"/>
    </xf>
    <xf numFmtId="0" fontId="11" fillId="0" borderId="58" xfId="0" applyFont="1" applyBorder="1" applyAlignment="1">
      <alignment horizontal="right" wrapText="1"/>
    </xf>
    <xf numFmtId="0" fontId="9" fillId="0" borderId="10" xfId="0" applyFont="1" applyBorder="1" applyAlignment="1">
      <alignment horizontal="left" wrapText="1"/>
    </xf>
    <xf numFmtId="0" fontId="9" fillId="0" borderId="10" xfId="0" applyFont="1" applyBorder="1" applyAlignment="1">
      <alignment horizontal="center" wrapText="1"/>
    </xf>
    <xf numFmtId="0" fontId="0" fillId="0" borderId="59" xfId="0" applyBorder="1" applyAlignment="1">
      <alignment horizontal="right" wrapText="1"/>
    </xf>
    <xf numFmtId="0" fontId="11" fillId="0" borderId="60" xfId="0" applyFont="1" applyBorder="1" applyAlignment="1">
      <alignment horizontal="right" wrapText="1"/>
    </xf>
    <xf numFmtId="0" fontId="9" fillId="11" borderId="10" xfId="0" applyFont="1" applyFill="1" applyBorder="1" applyAlignment="1">
      <alignment horizontal="left" wrapText="1"/>
    </xf>
    <xf numFmtId="0" fontId="9" fillId="0" borderId="44" xfId="0" applyFont="1" applyBorder="1" applyAlignment="1">
      <alignment horizontal="left" wrapText="1"/>
    </xf>
    <xf numFmtId="0" fontId="9" fillId="0" borderId="44" xfId="0" applyFont="1" applyBorder="1" applyAlignment="1">
      <alignment horizontal="center" wrapText="1"/>
    </xf>
    <xf numFmtId="0" fontId="0" fillId="0" borderId="61" xfId="0" applyBorder="1" applyAlignment="1">
      <alignment horizontal="right" wrapText="1"/>
    </xf>
    <xf numFmtId="0" fontId="11" fillId="0" borderId="62" xfId="0" applyFont="1" applyBorder="1" applyAlignment="1">
      <alignment horizontal="right" wrapText="1"/>
    </xf>
    <xf numFmtId="0" fontId="7" fillId="0" borderId="63" xfId="0" applyFont="1" applyBorder="1" applyAlignment="1">
      <alignment horizontal="center" wrapText="1"/>
    </xf>
    <xf numFmtId="0" fontId="7" fillId="0" borderId="64" xfId="0" applyFont="1" applyBorder="1" applyAlignment="1">
      <alignment horizontal="center" wrapText="1"/>
    </xf>
    <xf numFmtId="0" fontId="5" fillId="0" borderId="63" xfId="0" applyFont="1" applyBorder="1" applyAlignment="1">
      <alignment horizontal="right" wrapText="1"/>
    </xf>
    <xf numFmtId="0" fontId="11" fillId="0" borderId="65" xfId="0" applyFont="1" applyBorder="1" applyAlignment="1">
      <alignment horizontal="right" wrapText="1"/>
    </xf>
    <xf numFmtId="0" fontId="9" fillId="5" borderId="4" xfId="0" applyFont="1" applyFill="1" applyBorder="1" applyAlignment="1">
      <alignment horizontal="left" wrapText="1"/>
    </xf>
    <xf numFmtId="0" fontId="9" fillId="5" borderId="4" xfId="0" applyFont="1" applyFill="1" applyBorder="1" applyAlignment="1">
      <alignment horizontal="center" wrapText="1"/>
    </xf>
    <xf numFmtId="0" fontId="0" fillId="5" borderId="66" xfId="0" applyFill="1" applyBorder="1" applyAlignment="1">
      <alignment horizontal="left" wrapText="1"/>
    </xf>
    <xf numFmtId="0" fontId="11" fillId="5" borderId="67" xfId="0" applyFont="1" applyFill="1" applyBorder="1" applyAlignment="1">
      <alignment horizontal="right" wrapText="1"/>
    </xf>
    <xf numFmtId="0" fontId="9" fillId="0" borderId="55" xfId="0" applyFont="1" applyBorder="1" applyAlignment="1">
      <alignment horizontal="left" wrapText="1"/>
    </xf>
    <xf numFmtId="0" fontId="9" fillId="0" borderId="55" xfId="0" applyFont="1" applyBorder="1" applyAlignment="1">
      <alignment horizontal="center" wrapText="1"/>
    </xf>
    <xf numFmtId="0" fontId="5" fillId="0" borderId="68" xfId="0" applyFont="1" applyBorder="1" applyAlignment="1">
      <alignment horizontal="right" wrapText="1"/>
    </xf>
    <xf numFmtId="0" fontId="11" fillId="0" borderId="69" xfId="0" applyFont="1" applyBorder="1" applyAlignment="1">
      <alignment horizontal="right" wrapText="1"/>
    </xf>
    <xf numFmtId="0" fontId="9" fillId="5" borderId="70" xfId="0" applyFont="1" applyFill="1" applyBorder="1" applyAlignment="1">
      <alignment horizontal="left" wrapText="1"/>
    </xf>
    <xf numFmtId="0" fontId="9" fillId="5" borderId="70" xfId="0" applyFont="1" applyFill="1" applyBorder="1" applyAlignment="1">
      <alignment horizontal="center" wrapText="1"/>
    </xf>
    <xf numFmtId="0" fontId="9" fillId="5" borderId="10" xfId="0" applyFont="1" applyFill="1" applyBorder="1" applyAlignment="1">
      <alignment horizontal="left" wrapText="1"/>
    </xf>
    <xf numFmtId="0" fontId="9" fillId="5" borderId="10" xfId="0" applyFont="1" applyFill="1" applyBorder="1" applyAlignment="1">
      <alignment horizontal="center" wrapText="1"/>
    </xf>
    <xf numFmtId="0" fontId="0" fillId="0" borderId="71" xfId="0" applyBorder="1" applyAlignment="1">
      <alignment horizontal="right" wrapText="1"/>
    </xf>
    <xf numFmtId="0" fontId="11" fillId="0" borderId="72" xfId="0" applyFont="1" applyBorder="1" applyAlignment="1">
      <alignment horizontal="right" wrapText="1"/>
    </xf>
    <xf numFmtId="0" fontId="0" fillId="0" borderId="66" xfId="0" applyBorder="1" applyAlignment="1">
      <alignment horizontal="right" wrapText="1"/>
    </xf>
    <xf numFmtId="0" fontId="7" fillId="0" borderId="10" xfId="0" applyFont="1" applyBorder="1" applyAlignment="1">
      <alignment horizontal="center" wrapText="1"/>
    </xf>
    <xf numFmtId="0" fontId="5" fillId="0" borderId="68" xfId="0" applyFont="1" applyBorder="1" applyAlignment="1">
      <alignment horizontal="right" vertical="center" wrapText="1"/>
    </xf>
    <xf numFmtId="0" fontId="0" fillId="5" borderId="44" xfId="0" applyFill="1" applyBorder="1" applyAlignment="1">
      <alignment horizontal="left" wrapText="1"/>
    </xf>
    <xf numFmtId="0" fontId="0" fillId="5" borderId="44" xfId="0" applyFill="1" applyBorder="1" applyAlignment="1">
      <alignment horizontal="center" wrapText="1"/>
    </xf>
    <xf numFmtId="0" fontId="14" fillId="0" borderId="10" xfId="0" applyFont="1" applyBorder="1" applyAlignment="1">
      <alignment horizontal="left" wrapText="1"/>
    </xf>
    <xf numFmtId="0" fontId="14" fillId="0" borderId="10" xfId="0" applyFont="1" applyBorder="1" applyAlignment="1">
      <alignment horizontal="center" wrapText="1"/>
    </xf>
    <xf numFmtId="0" fontId="5" fillId="0" borderId="71" xfId="0" applyFont="1" applyBorder="1" applyAlignment="1">
      <alignment horizontal="right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17" fillId="8" borderId="55" xfId="0" applyFont="1" applyFill="1" applyBorder="1" applyAlignment="1">
      <alignment horizontal="center" vertical="center" wrapText="1"/>
    </xf>
    <xf numFmtId="0" fontId="17" fillId="8" borderId="73" xfId="0" applyFont="1" applyFill="1" applyBorder="1" applyAlignment="1">
      <alignment horizontal="left" vertical="center" wrapText="1"/>
    </xf>
    <xf numFmtId="14" fontId="17" fillId="8" borderId="74" xfId="0" applyNumberFormat="1" applyFont="1" applyFill="1" applyBorder="1" applyAlignment="1">
      <alignment horizontal="right" vertical="center" wrapText="1"/>
    </xf>
    <xf numFmtId="0" fontId="19" fillId="11" borderId="70" xfId="0" applyFont="1" applyFill="1" applyBorder="1" applyAlignment="1">
      <alignment horizontal="left" vertical="center" wrapText="1"/>
    </xf>
    <xf numFmtId="0" fontId="19" fillId="0" borderId="70" xfId="0" applyFont="1" applyBorder="1" applyAlignment="1">
      <alignment horizontal="center" vertical="center" wrapText="1"/>
    </xf>
    <xf numFmtId="0" fontId="19" fillId="0" borderId="75" xfId="0" applyFont="1" applyBorder="1" applyAlignment="1">
      <alignment horizontal="right" vertical="center" wrapText="1"/>
    </xf>
    <xf numFmtId="0" fontId="11" fillId="0" borderId="60" xfId="0" applyFont="1" applyBorder="1" applyAlignment="1">
      <alignment horizontal="right" vertical="center" wrapText="1"/>
    </xf>
    <xf numFmtId="0" fontId="19" fillId="0" borderId="7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13" borderId="10" xfId="0" applyFont="1" applyFill="1" applyBorder="1" applyAlignment="1">
      <alignment horizontal="left" vertical="center" wrapText="1"/>
    </xf>
    <xf numFmtId="0" fontId="19" fillId="9" borderId="75" xfId="0" applyFont="1" applyFill="1" applyBorder="1" applyAlignment="1">
      <alignment horizontal="right" vertical="center" wrapText="1"/>
    </xf>
    <xf numFmtId="0" fontId="11" fillId="9" borderId="60" xfId="0" applyFont="1" applyFill="1" applyBorder="1" applyAlignment="1">
      <alignment horizontal="right" vertical="center" wrapText="1"/>
    </xf>
    <xf numFmtId="0" fontId="19" fillId="0" borderId="59" xfId="0" applyFont="1" applyBorder="1" applyAlignment="1">
      <alignment horizontal="right" vertical="center" wrapText="1"/>
    </xf>
    <xf numFmtId="0" fontId="19" fillId="0" borderId="44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5" borderId="66" xfId="0" applyFont="1" applyFill="1" applyBorder="1" applyAlignment="1">
      <alignment horizontal="right" vertical="center" wrapText="1"/>
    </xf>
    <xf numFmtId="0" fontId="11" fillId="5" borderId="67" xfId="0" applyFont="1" applyFill="1" applyBorder="1" applyAlignment="1">
      <alignment horizontal="right" vertical="center" wrapText="1"/>
    </xf>
    <xf numFmtId="0" fontId="17" fillId="0" borderId="6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right" vertical="center" wrapText="1"/>
    </xf>
    <xf numFmtId="0" fontId="11" fillId="0" borderId="69" xfId="0" applyFont="1" applyBorder="1" applyAlignment="1">
      <alignment horizontal="right" vertical="center" wrapText="1"/>
    </xf>
    <xf numFmtId="2" fontId="0" fillId="14" borderId="23" xfId="0" applyNumberFormat="1" applyFill="1" applyBorder="1"/>
    <xf numFmtId="0" fontId="0" fillId="2" borderId="0" xfId="0" applyFill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horizontal="center" vertical="center"/>
    </xf>
    <xf numFmtId="0" fontId="7" fillId="0" borderId="35" xfId="2" applyNumberFormat="1" applyFont="1" applyBorder="1" applyAlignment="1" applyProtection="1">
      <alignment horizontal="center" wrapText="1"/>
    </xf>
    <xf numFmtId="0" fontId="7" fillId="0" borderId="1" xfId="2" applyNumberFormat="1" applyFont="1" applyBorder="1" applyAlignment="1" applyProtection="1">
      <alignment horizontal="center" wrapText="1"/>
    </xf>
    <xf numFmtId="0" fontId="14" fillId="0" borderId="5" xfId="2" applyNumberFormat="1" applyFont="1" applyBorder="1" applyAlignment="1" applyProtection="1">
      <alignment wrapText="1"/>
    </xf>
  </cellXfs>
  <cellStyles count="3">
    <cellStyle name="Excel Built-in Explanatory Text" xfId="2" xr:uid="{00000000-0005-0000-0000-000006000000}"/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A5A5A5"/>
      <rgbColor rgb="FF800080"/>
      <rgbColor rgb="FF008080"/>
      <rgbColor rgb="FFC0C0C0"/>
      <rgbColor rgb="FF808080"/>
      <rgbColor rgb="FF8FAADC"/>
      <rgbColor rgb="FF993366"/>
      <rgbColor rgb="FFFFFBCC"/>
      <rgbColor rgb="FFCCFFFF"/>
      <rgbColor rgb="FF660066"/>
      <rgbColor rgb="FFA6A6A6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5E0B4"/>
      <rgbColor rgb="FFCCFFCC"/>
      <rgbColor rgb="FFFFFF99"/>
      <rgbColor rgb="FF9DC3E6"/>
      <rgbColor rgb="FFBFBFBF"/>
      <rgbColor rgb="FFB2B2B2"/>
      <rgbColor rgb="FFD9D9D9"/>
      <rgbColor rgb="FF4472C4"/>
      <rgbColor rgb="FF33CCCC"/>
      <rgbColor rgb="FFA9D18E"/>
      <rgbColor rgb="FFFFCC00"/>
      <rgbColor rgb="FFFFC000"/>
      <rgbColor rgb="FFED7D31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lang="fr-F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Evolution du taux de remplissage des barrages 
sous convention </a:t>
            </a:r>
          </a:p>
        </c:rich>
      </c:tx>
      <c:layout>
        <c:manualLayout>
          <c:xMode val="edge"/>
          <c:yMode val="edge"/>
          <c:x val="0.13995215311004799"/>
          <c:y val="2.2739816756816401E-2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0070730185099"/>
          <c:y val="0.17419141185561299"/>
          <c:w val="0.79665071770334905"/>
          <c:h val="0.59951429517606802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556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Graphiques!$C$42:$G$42</c:f>
              <c:strCache>
                <c:ptCount val="5"/>
                <c:pt idx="0">
                  <c:v>1er juillet</c:v>
                </c:pt>
                <c:pt idx="1">
                  <c:v>1er août</c:v>
                </c:pt>
                <c:pt idx="2">
                  <c:v>1er septembre</c:v>
                </c:pt>
                <c:pt idx="3">
                  <c:v>1er octobre</c:v>
                </c:pt>
                <c:pt idx="4">
                  <c:v>1er novembre</c:v>
                </c:pt>
              </c:strCache>
            </c:strRef>
          </c:cat>
          <c:val>
            <c:numRef>
              <c:f>Graphiques!$C$44:$G$44</c:f>
              <c:numCache>
                <c:formatCode>0.0%</c:formatCode>
                <c:ptCount val="5"/>
                <c:pt idx="0">
                  <c:v>0.914619883040936</c:v>
                </c:pt>
                <c:pt idx="1">
                  <c:v>0.82538011695906399</c:v>
                </c:pt>
                <c:pt idx="2">
                  <c:v>0.50818713450292397</c:v>
                </c:pt>
                <c:pt idx="3">
                  <c:v>0.38101169590643302</c:v>
                </c:pt>
                <c:pt idx="4">
                  <c:v>0.28935087719298203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D-4727-860C-FAD6172FB531}"/>
            </c:ext>
          </c:extLst>
        </c:ser>
        <c:ser>
          <c:idx val="1"/>
          <c:order val="1"/>
          <c:tx>
            <c:v>2018</c:v>
          </c:tx>
          <c:spPr>
            <a:ln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Graphiques!$C$42:$G$42</c:f>
              <c:strCache>
                <c:ptCount val="5"/>
                <c:pt idx="0">
                  <c:v>1er juillet</c:v>
                </c:pt>
                <c:pt idx="1">
                  <c:v>1er août</c:v>
                </c:pt>
                <c:pt idx="2">
                  <c:v>1er septembre</c:v>
                </c:pt>
                <c:pt idx="3">
                  <c:v>1er octobre</c:v>
                </c:pt>
                <c:pt idx="4">
                  <c:v>1er novembre</c:v>
                </c:pt>
              </c:strCache>
            </c:strRef>
          </c:cat>
          <c:val>
            <c:numRef>
              <c:f>Graphiques!$C$45:$G$45</c:f>
              <c:numCache>
                <c:formatCode>0.0%</c:formatCode>
                <c:ptCount val="5"/>
                <c:pt idx="0">
                  <c:v>1</c:v>
                </c:pt>
                <c:pt idx="1">
                  <c:v>0.99905732484076504</c:v>
                </c:pt>
                <c:pt idx="2">
                  <c:v>0.88341401273885301</c:v>
                </c:pt>
                <c:pt idx="3">
                  <c:v>0.73901675159235702</c:v>
                </c:pt>
                <c:pt idx="4">
                  <c:v>0.61866242038216601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D-4727-860C-FAD6172FB531}"/>
            </c:ext>
          </c:extLst>
        </c:ser>
        <c:ser>
          <c:idx val="2"/>
          <c:order val="2"/>
          <c:tx>
            <c:v>2019</c:v>
          </c:tx>
          <c:spPr>
            <a:ln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Graphiques!$C$42:$G$42</c:f>
              <c:strCache>
                <c:ptCount val="5"/>
                <c:pt idx="0">
                  <c:v>1er juillet</c:v>
                </c:pt>
                <c:pt idx="1">
                  <c:v>1er août</c:v>
                </c:pt>
                <c:pt idx="2">
                  <c:v>1er septembre</c:v>
                </c:pt>
                <c:pt idx="3">
                  <c:v>1er octobre</c:v>
                </c:pt>
                <c:pt idx="4">
                  <c:v>1er novembre</c:v>
                </c:pt>
              </c:strCache>
            </c:strRef>
          </c:cat>
          <c:val>
            <c:numRef>
              <c:f>Graphiques!$C$46:$G$46</c:f>
              <c:numCache>
                <c:formatCode>0.0%</c:formatCode>
                <c:ptCount val="5"/>
                <c:pt idx="0">
                  <c:v>0.999732484076433</c:v>
                </c:pt>
                <c:pt idx="1">
                  <c:v>0.85080382165605095</c:v>
                </c:pt>
                <c:pt idx="2">
                  <c:v>0.51543312101910799</c:v>
                </c:pt>
                <c:pt idx="3">
                  <c:v>0.27556050955414002</c:v>
                </c:pt>
                <c:pt idx="4">
                  <c:v>0.16285987261146501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8D-4727-860C-FAD6172FB531}"/>
            </c:ext>
          </c:extLst>
        </c:ser>
        <c:ser>
          <c:idx val="3"/>
          <c:order val="3"/>
          <c:tx>
            <c:v>2020</c:v>
          </c:tx>
          <c:spPr>
            <a:ln w="25560">
              <a:solidFill>
                <a:srgbClr val="9DC3E6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Graphiques!$C$42:$G$42</c:f>
              <c:strCache>
                <c:ptCount val="5"/>
                <c:pt idx="0">
                  <c:v>1er juillet</c:v>
                </c:pt>
                <c:pt idx="1">
                  <c:v>1er août</c:v>
                </c:pt>
                <c:pt idx="2">
                  <c:v>1er septembre</c:v>
                </c:pt>
                <c:pt idx="3">
                  <c:v>1er octobre</c:v>
                </c:pt>
                <c:pt idx="4">
                  <c:v>1er novembre</c:v>
                </c:pt>
              </c:strCache>
            </c:strRef>
          </c:cat>
          <c:val>
            <c:numRef>
              <c:f>Graphiques!$C$47:$G$47</c:f>
              <c:numCache>
                <c:formatCode>0.0%</c:formatCode>
                <c:ptCount val="5"/>
                <c:pt idx="0">
                  <c:v>1.0024148606811101</c:v>
                </c:pt>
                <c:pt idx="1">
                  <c:v>0.86749226006191904</c:v>
                </c:pt>
                <c:pt idx="2">
                  <c:v>0.475969040247678</c:v>
                </c:pt>
                <c:pt idx="3">
                  <c:v>0.281417956656347</c:v>
                </c:pt>
                <c:pt idx="4">
                  <c:v>0.218346749226006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8D-4727-860C-FAD6172FB531}"/>
            </c:ext>
          </c:extLst>
        </c:ser>
        <c:ser>
          <c:idx val="4"/>
          <c:order val="4"/>
          <c:tx>
            <c:strRef>
              <c:f>Graphiques!$A$48</c:f>
              <c:strCache>
                <c:ptCount val="1"/>
                <c:pt idx="0">
                  <c:v>2021</c:v>
                </c:pt>
              </c:strCache>
            </c:strRef>
          </c:tx>
          <c:spPr>
            <a:ln w="25560">
              <a:solidFill>
                <a:srgbClr val="A9D18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Graphiques!$C$42:$G$42</c:f>
              <c:strCache>
                <c:ptCount val="5"/>
                <c:pt idx="0">
                  <c:v>1er juillet</c:v>
                </c:pt>
                <c:pt idx="1">
                  <c:v>1er août</c:v>
                </c:pt>
                <c:pt idx="2">
                  <c:v>1er septembre</c:v>
                </c:pt>
                <c:pt idx="3">
                  <c:v>1er octobre</c:v>
                </c:pt>
                <c:pt idx="4">
                  <c:v>1er novembre</c:v>
                </c:pt>
              </c:strCache>
            </c:strRef>
          </c:cat>
          <c:val>
            <c:numRef>
              <c:f>Graphiques!$C$48:$G$48</c:f>
              <c:numCache>
                <c:formatCode>0.0%</c:formatCode>
                <c:ptCount val="5"/>
                <c:pt idx="0">
                  <c:v>1</c:v>
                </c:pt>
                <c:pt idx="1">
                  <c:v>0.91553668890236495</c:v>
                </c:pt>
                <c:pt idx="2">
                  <c:v>0.65201685036643797</c:v>
                </c:pt>
                <c:pt idx="3">
                  <c:v>0.52059184747646103</c:v>
                </c:pt>
                <c:pt idx="4">
                  <c:v>0.18808333333333299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8D-4727-860C-FAD6172FB531}"/>
            </c:ext>
          </c:extLst>
        </c:ser>
        <c:ser>
          <c:idx val="5"/>
          <c:order val="5"/>
          <c:tx>
            <c:strRef>
              <c:f>Graphiques!$A$49</c:f>
              <c:strCache>
                <c:ptCount val="1"/>
                <c:pt idx="0">
                  <c:v>2022</c:v>
                </c:pt>
              </c:strCache>
            </c:strRef>
          </c:tx>
          <c:spPr>
            <a:ln w="31750">
              <a:solidFill>
                <a:srgbClr val="4472C4"/>
              </a:solidFill>
              <a:round/>
            </a:ln>
            <a:effectLst>
              <a:glow rad="63500">
                <a:schemeClr val="accent5">
                  <a:satMod val="175000"/>
                  <a:alpha val="40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Graphiques!$C$42:$G$42</c:f>
              <c:strCache>
                <c:ptCount val="5"/>
                <c:pt idx="0">
                  <c:v>1er juillet</c:v>
                </c:pt>
                <c:pt idx="1">
                  <c:v>1er août</c:v>
                </c:pt>
                <c:pt idx="2">
                  <c:v>1er septembre</c:v>
                </c:pt>
                <c:pt idx="3">
                  <c:v>1er octobre</c:v>
                </c:pt>
                <c:pt idx="4">
                  <c:v>1er novembre</c:v>
                </c:pt>
              </c:strCache>
            </c:strRef>
          </c:cat>
          <c:val>
            <c:numRef>
              <c:f>Graphiques!$C$49:$G$49</c:f>
              <c:numCache>
                <c:formatCode>0.0%</c:formatCode>
                <c:ptCount val="5"/>
                <c:pt idx="0">
                  <c:v>0.9914452644526448</c:v>
                </c:pt>
                <c:pt idx="1">
                  <c:v>0.58171912832929795</c:v>
                </c:pt>
                <c:pt idx="2">
                  <c:v>0.27914050348522401</c:v>
                </c:pt>
                <c:pt idx="3">
                  <c:v>0.22008304579215199</c:v>
                </c:pt>
                <c:pt idx="4">
                  <c:v>0.15272769168730899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D8D-4727-860C-FAD6172FB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36203525"/>
        <c:axId val="1128369"/>
      </c:lineChart>
      <c:catAx>
        <c:axId val="36203525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 rot="-144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1128369"/>
        <c:crosses val="autoZero"/>
        <c:auto val="1"/>
        <c:lblAlgn val="ctr"/>
        <c:lblOffset val="100"/>
        <c:noMultiLvlLbl val="0"/>
      </c:catAx>
      <c:valAx>
        <c:axId val="1128369"/>
        <c:scaling>
          <c:orientation val="minMax"/>
          <c:max val="1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fr-FR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fr-FR" sz="1000" b="0" strike="noStrike" spc="-1">
                    <a:solidFill>
                      <a:srgbClr val="595959"/>
                    </a:solidFill>
                    <a:latin typeface="Calibri"/>
                  </a:rPr>
                  <a:t>Taux de remplissage (%)</a:t>
                </a:r>
              </a:p>
            </c:rich>
          </c:tx>
          <c:layout>
            <c:manualLayout>
              <c:xMode val="edge"/>
              <c:yMode val="edge"/>
              <c:x val="2.4443519866860799E-2"/>
              <c:y val="0.30709791367700601"/>
            </c:manualLayout>
          </c:layout>
          <c:overlay val="0"/>
          <c:spPr>
            <a:noFill/>
            <a:ln w="0">
              <a:noFill/>
            </a:ln>
          </c:spPr>
        </c:title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36203525"/>
        <c:crosses val="autoZero"/>
        <c:crossBetween val="midCat"/>
        <c:majorUnit val="0.2"/>
      </c:valAx>
      <c:spPr>
        <a:noFill/>
        <a:ln w="25560">
          <a:noFill/>
        </a:ln>
      </c:spPr>
    </c:plotArea>
    <c:legend>
      <c:legendPos val="r"/>
      <c:layout>
        <c:manualLayout>
          <c:xMode val="edge"/>
          <c:yMode val="edge"/>
          <c:x val="0.120728580756902"/>
          <c:y val="0.93494452313690002"/>
          <c:w val="0.791115625865494"/>
          <c:h val="6.5055476863099607E-2"/>
        </c:manualLayout>
      </c:layout>
      <c:overlay val="0"/>
      <c:spPr>
        <a:noFill/>
        <a:ln w="2556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lang="fr-F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Evolution du taux de remplissage des barrages 
hors convention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Graphiques!$A$19</c:f>
              <c:strCache>
                <c:ptCount val="1"/>
                <c:pt idx="0">
                  <c:v>2022/2023</c:v>
                </c:pt>
              </c:strCache>
            </c:strRef>
          </c:tx>
          <c:spPr>
            <a:ln w="31750" cap="rnd">
              <a:solidFill>
                <a:srgbClr val="4472C4"/>
              </a:solidFill>
              <a:prstDash val="solid"/>
              <a:round/>
            </a:ln>
            <a:effectLst>
              <a:glow rad="63500">
                <a:schemeClr val="accent5">
                  <a:satMod val="175000"/>
                  <a:alpha val="40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Graphiques!$B$13:$M$13</c:f>
              <c:strCache>
                <c:ptCount val="12"/>
                <c:pt idx="0">
                  <c:v>Juin</c:v>
                </c:pt>
                <c:pt idx="1">
                  <c:v>Juillet</c:v>
                </c:pt>
                <c:pt idx="2">
                  <c:v>Aout</c:v>
                </c:pt>
                <c:pt idx="3">
                  <c:v>Septembre</c:v>
                </c:pt>
                <c:pt idx="4">
                  <c:v>Octobre</c:v>
                </c:pt>
                <c:pt idx="5">
                  <c:v>Novembre</c:v>
                </c:pt>
                <c:pt idx="6">
                  <c:v>Décembre</c:v>
                </c:pt>
                <c:pt idx="7">
                  <c:v>Janvier</c:v>
                </c:pt>
                <c:pt idx="8">
                  <c:v>Février</c:v>
                </c:pt>
                <c:pt idx="9">
                  <c:v>Mars</c:v>
                </c:pt>
                <c:pt idx="10">
                  <c:v>Avril</c:v>
                </c:pt>
                <c:pt idx="11">
                  <c:v>Mai</c:v>
                </c:pt>
              </c:strCache>
            </c:strRef>
          </c:cat>
          <c:val>
            <c:numRef>
              <c:f>Graphiques!$B$19:$H$19</c:f>
              <c:numCache>
                <c:formatCode>0.0%</c:formatCode>
                <c:ptCount val="7"/>
                <c:pt idx="0">
                  <c:v>0.94957116944102482</c:v>
                </c:pt>
                <c:pt idx="1">
                  <c:v>0.87813663782977469</c:v>
                </c:pt>
                <c:pt idx="2">
                  <c:v>0.57689360046933236</c:v>
                </c:pt>
                <c:pt idx="3">
                  <c:v>0.36278256538366255</c:v>
                </c:pt>
                <c:pt idx="4">
                  <c:v>0.28368415579880846</c:v>
                </c:pt>
                <c:pt idx="5">
                  <c:v>0.24357781146860183</c:v>
                </c:pt>
                <c:pt idx="6">
                  <c:v>0.27292391707607017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03-4AF2-9A9A-F337864ADCFB}"/>
            </c:ext>
          </c:extLst>
        </c:ser>
        <c:ser>
          <c:idx val="1"/>
          <c:order val="1"/>
          <c:tx>
            <c:strRef>
              <c:f>Graphiques!$A$14</c:f>
              <c:strCache>
                <c:ptCount val="1"/>
                <c:pt idx="0">
                  <c:v>2017/2018</c:v>
                </c:pt>
              </c:strCache>
            </c:strRef>
          </c:tx>
          <c:spPr>
            <a:ln w="2556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Graphiques!$B$13:$M$13</c:f>
              <c:strCache>
                <c:ptCount val="12"/>
                <c:pt idx="0">
                  <c:v>Juin</c:v>
                </c:pt>
                <c:pt idx="1">
                  <c:v>Juillet</c:v>
                </c:pt>
                <c:pt idx="2">
                  <c:v>Aout</c:v>
                </c:pt>
                <c:pt idx="3">
                  <c:v>Septembre</c:v>
                </c:pt>
                <c:pt idx="4">
                  <c:v>Octobre</c:v>
                </c:pt>
                <c:pt idx="5">
                  <c:v>Novembre</c:v>
                </c:pt>
                <c:pt idx="6">
                  <c:v>Décembre</c:v>
                </c:pt>
                <c:pt idx="7">
                  <c:v>Janvier</c:v>
                </c:pt>
                <c:pt idx="8">
                  <c:v>Février</c:v>
                </c:pt>
                <c:pt idx="9">
                  <c:v>Mars</c:v>
                </c:pt>
                <c:pt idx="10">
                  <c:v>Avril</c:v>
                </c:pt>
                <c:pt idx="11">
                  <c:v>Mai</c:v>
                </c:pt>
              </c:strCache>
            </c:strRef>
          </c:cat>
          <c:val>
            <c:numRef>
              <c:f>Graphiques!$B$14:$M$14</c:f>
              <c:numCache>
                <c:formatCode>0.0%</c:formatCode>
                <c:ptCount val="12"/>
                <c:pt idx="0">
                  <c:v>0.74752581138257201</c:v>
                </c:pt>
                <c:pt idx="1">
                  <c:v>0.70659801021499502</c:v>
                </c:pt>
                <c:pt idx="2">
                  <c:v>0.60588275189248697</c:v>
                </c:pt>
                <c:pt idx="3">
                  <c:v>0.41895564981035999</c:v>
                </c:pt>
                <c:pt idx="4">
                  <c:v>0.35393548589047302</c:v>
                </c:pt>
                <c:pt idx="5">
                  <c:v>0.31470061926449899</c:v>
                </c:pt>
                <c:pt idx="6">
                  <c:v>0.31613270102619501</c:v>
                </c:pt>
                <c:pt idx="7">
                  <c:v>0.44376700627711602</c:v>
                </c:pt>
                <c:pt idx="8">
                  <c:v>0.74790431375849797</c:v>
                </c:pt>
                <c:pt idx="9">
                  <c:v>0.88585327618654297</c:v>
                </c:pt>
                <c:pt idx="10">
                  <c:v>0.92486529779150195</c:v>
                </c:pt>
                <c:pt idx="11">
                  <c:v>0.961878321525656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3-4AF2-9A9A-F337864ADCFB}"/>
            </c:ext>
          </c:extLst>
        </c:ser>
        <c:ser>
          <c:idx val="2"/>
          <c:order val="2"/>
          <c:tx>
            <c:strRef>
              <c:f>Graphiques!$A$15</c:f>
              <c:strCache>
                <c:ptCount val="1"/>
                <c:pt idx="0">
                  <c:v>2018/2019</c:v>
                </c:pt>
              </c:strCache>
            </c:strRef>
          </c:tx>
          <c:spPr>
            <a:ln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Graphiques!$B$13:$M$13</c:f>
              <c:strCache>
                <c:ptCount val="12"/>
                <c:pt idx="0">
                  <c:v>Juin</c:v>
                </c:pt>
                <c:pt idx="1">
                  <c:v>Juillet</c:v>
                </c:pt>
                <c:pt idx="2">
                  <c:v>Aout</c:v>
                </c:pt>
                <c:pt idx="3">
                  <c:v>Septembre</c:v>
                </c:pt>
                <c:pt idx="4">
                  <c:v>Octobre</c:v>
                </c:pt>
                <c:pt idx="5">
                  <c:v>Novembre</c:v>
                </c:pt>
                <c:pt idx="6">
                  <c:v>Décembre</c:v>
                </c:pt>
                <c:pt idx="7">
                  <c:v>Janvier</c:v>
                </c:pt>
                <c:pt idx="8">
                  <c:v>Février</c:v>
                </c:pt>
                <c:pt idx="9">
                  <c:v>Mars</c:v>
                </c:pt>
                <c:pt idx="10">
                  <c:v>Avril</c:v>
                </c:pt>
                <c:pt idx="11">
                  <c:v>Mai</c:v>
                </c:pt>
              </c:strCache>
            </c:strRef>
          </c:cat>
          <c:val>
            <c:numRef>
              <c:f>Graphiques!$B$15:$M$15</c:f>
              <c:numCache>
                <c:formatCode>0.0%</c:formatCode>
                <c:ptCount val="12"/>
                <c:pt idx="0">
                  <c:v>0.98625031398732999</c:v>
                </c:pt>
                <c:pt idx="1">
                  <c:v>0.98777060447328402</c:v>
                </c:pt>
                <c:pt idx="2">
                  <c:v>0.94381106313808505</c:v>
                </c:pt>
                <c:pt idx="3">
                  <c:v>0.75043169148098099</c:v>
                </c:pt>
                <c:pt idx="4">
                  <c:v>0.64297738271553095</c:v>
                </c:pt>
                <c:pt idx="5">
                  <c:v>0.60731475405093005</c:v>
                </c:pt>
                <c:pt idx="6">
                  <c:v>0.61481809776940799</c:v>
                </c:pt>
                <c:pt idx="7">
                  <c:v>0.68080853975136602</c:v>
                </c:pt>
                <c:pt idx="8">
                  <c:v>0.74333340774581402</c:v>
                </c:pt>
                <c:pt idx="9">
                  <c:v>0.87195231648240801</c:v>
                </c:pt>
                <c:pt idx="10">
                  <c:v>0.88303539889247995</c:v>
                </c:pt>
                <c:pt idx="11">
                  <c:v>0.91497936366823795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03-4AF2-9A9A-F337864ADCFB}"/>
            </c:ext>
          </c:extLst>
        </c:ser>
        <c:ser>
          <c:idx val="3"/>
          <c:order val="3"/>
          <c:tx>
            <c:strRef>
              <c:f>Graphiques!$A$16</c:f>
              <c:strCache>
                <c:ptCount val="1"/>
                <c:pt idx="0">
                  <c:v>2019/2020</c:v>
                </c:pt>
              </c:strCache>
            </c:strRef>
          </c:tx>
          <c:spPr>
            <a:ln w="25560">
              <a:solidFill>
                <a:srgbClr val="A6A6A6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Graphiques!$B$13:$M$13</c:f>
              <c:strCache>
                <c:ptCount val="12"/>
                <c:pt idx="0">
                  <c:v>Juin</c:v>
                </c:pt>
                <c:pt idx="1">
                  <c:v>Juillet</c:v>
                </c:pt>
                <c:pt idx="2">
                  <c:v>Aout</c:v>
                </c:pt>
                <c:pt idx="3">
                  <c:v>Septembre</c:v>
                </c:pt>
                <c:pt idx="4">
                  <c:v>Octobre</c:v>
                </c:pt>
                <c:pt idx="5">
                  <c:v>Novembre</c:v>
                </c:pt>
                <c:pt idx="6">
                  <c:v>Décembre</c:v>
                </c:pt>
                <c:pt idx="7">
                  <c:v>Janvier</c:v>
                </c:pt>
                <c:pt idx="8">
                  <c:v>Février</c:v>
                </c:pt>
                <c:pt idx="9">
                  <c:v>Mars</c:v>
                </c:pt>
                <c:pt idx="10">
                  <c:v>Avril</c:v>
                </c:pt>
                <c:pt idx="11">
                  <c:v>Mai</c:v>
                </c:pt>
              </c:strCache>
            </c:strRef>
          </c:cat>
          <c:val>
            <c:numRef>
              <c:f>Graphiques!$B$16:$M$16</c:f>
              <c:numCache>
                <c:formatCode>0.0%</c:formatCode>
                <c:ptCount val="12"/>
                <c:pt idx="0">
                  <c:v>0.96266025493715901</c:v>
                </c:pt>
                <c:pt idx="1">
                  <c:v>0.94540794016186103</c:v>
                </c:pt>
                <c:pt idx="2">
                  <c:v>0.74425524706475599</c:v>
                </c:pt>
                <c:pt idx="3">
                  <c:v>0.53940994404619202</c:v>
                </c:pt>
                <c:pt idx="4">
                  <c:v>0.41797402829337599</c:v>
                </c:pt>
                <c:pt idx="5">
                  <c:v>0.38172026772735101</c:v>
                </c:pt>
                <c:pt idx="6">
                  <c:v>0.60520799820359505</c:v>
                </c:pt>
                <c:pt idx="7">
                  <c:v>0.81404452405120797</c:v>
                </c:pt>
                <c:pt idx="8">
                  <c:v>0.85969526776018002</c:v>
                </c:pt>
                <c:pt idx="9">
                  <c:v>0.88817248637923296</c:v>
                </c:pt>
                <c:pt idx="10">
                  <c:v>0.94588855724267595</c:v>
                </c:pt>
                <c:pt idx="11">
                  <c:v>0.97817657031125904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03-4AF2-9A9A-F337864ADCFB}"/>
            </c:ext>
          </c:extLst>
        </c:ser>
        <c:ser>
          <c:idx val="4"/>
          <c:order val="4"/>
          <c:tx>
            <c:strRef>
              <c:f>Graphiques!$A$17</c:f>
              <c:strCache>
                <c:ptCount val="1"/>
                <c:pt idx="0">
                  <c:v>2020/2021</c:v>
                </c:pt>
              </c:strCache>
            </c:strRef>
          </c:tx>
          <c:spPr>
            <a:ln w="25560">
              <a:solidFill>
                <a:srgbClr val="8FAADC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Graphiques!$B$13:$M$13</c:f>
              <c:strCache>
                <c:ptCount val="12"/>
                <c:pt idx="0">
                  <c:v>Juin</c:v>
                </c:pt>
                <c:pt idx="1">
                  <c:v>Juillet</c:v>
                </c:pt>
                <c:pt idx="2">
                  <c:v>Aout</c:v>
                </c:pt>
                <c:pt idx="3">
                  <c:v>Septembre</c:v>
                </c:pt>
                <c:pt idx="4">
                  <c:v>Octobre</c:v>
                </c:pt>
                <c:pt idx="5">
                  <c:v>Novembre</c:v>
                </c:pt>
                <c:pt idx="6">
                  <c:v>Décembre</c:v>
                </c:pt>
                <c:pt idx="7">
                  <c:v>Janvier</c:v>
                </c:pt>
                <c:pt idx="8">
                  <c:v>Février</c:v>
                </c:pt>
                <c:pt idx="9">
                  <c:v>Mars</c:v>
                </c:pt>
                <c:pt idx="10">
                  <c:v>Avril</c:v>
                </c:pt>
                <c:pt idx="11">
                  <c:v>Mai</c:v>
                </c:pt>
              </c:strCache>
            </c:strRef>
          </c:cat>
          <c:val>
            <c:numRef>
              <c:f>Graphiques!$B$17:$M$17</c:f>
              <c:numCache>
                <c:formatCode>0.0%</c:formatCode>
                <c:ptCount val="12"/>
                <c:pt idx="0">
                  <c:v>0.98694060964832198</c:v>
                </c:pt>
                <c:pt idx="1">
                  <c:v>0.97990469074391895</c:v>
                </c:pt>
                <c:pt idx="2">
                  <c:v>0.79058681853533697</c:v>
                </c:pt>
                <c:pt idx="3">
                  <c:v>0.51065696152830997</c:v>
                </c:pt>
                <c:pt idx="4">
                  <c:v>0.41972053298595802</c:v>
                </c:pt>
                <c:pt idx="5">
                  <c:v>0.49802697496195097</c:v>
                </c:pt>
                <c:pt idx="6">
                  <c:v>0.52008020789971698</c:v>
                </c:pt>
                <c:pt idx="7">
                  <c:v>0.76840582352027498</c:v>
                </c:pt>
                <c:pt idx="8">
                  <c:v>0.87499406274110103</c:v>
                </c:pt>
                <c:pt idx="9">
                  <c:v>0.93404571881912102</c:v>
                </c:pt>
                <c:pt idx="10">
                  <c:v>0.93864404560328296</c:v>
                </c:pt>
                <c:pt idx="11">
                  <c:v>0.93150906507107401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03-4AF2-9A9A-F337864ADCFB}"/>
            </c:ext>
          </c:extLst>
        </c:ser>
        <c:ser>
          <c:idx val="5"/>
          <c:order val="5"/>
          <c:tx>
            <c:strRef>
              <c:f>Graphiques!$A$18</c:f>
              <c:strCache>
                <c:ptCount val="1"/>
                <c:pt idx="0">
                  <c:v>2021/2022</c:v>
                </c:pt>
              </c:strCache>
            </c:strRef>
          </c:tx>
          <c:spPr>
            <a:ln w="25560">
              <a:solidFill>
                <a:srgbClr val="A9D18E"/>
              </a:solidFill>
              <a:round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5-D603-4AF2-9A9A-F337864ADCFB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03-4AF2-9A9A-F337864ADC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Graphiques!$B$13:$M$13</c:f>
              <c:strCache>
                <c:ptCount val="12"/>
                <c:pt idx="0">
                  <c:v>Juin</c:v>
                </c:pt>
                <c:pt idx="1">
                  <c:v>Juillet</c:v>
                </c:pt>
                <c:pt idx="2">
                  <c:v>Aout</c:v>
                </c:pt>
                <c:pt idx="3">
                  <c:v>Septembre</c:v>
                </c:pt>
                <c:pt idx="4">
                  <c:v>Octobre</c:v>
                </c:pt>
                <c:pt idx="5">
                  <c:v>Novembre</c:v>
                </c:pt>
                <c:pt idx="6">
                  <c:v>Décembre</c:v>
                </c:pt>
                <c:pt idx="7">
                  <c:v>Janvier</c:v>
                </c:pt>
                <c:pt idx="8">
                  <c:v>Février</c:v>
                </c:pt>
                <c:pt idx="9">
                  <c:v>Mars</c:v>
                </c:pt>
                <c:pt idx="10">
                  <c:v>Avril</c:v>
                </c:pt>
                <c:pt idx="11">
                  <c:v>Mai</c:v>
                </c:pt>
              </c:strCache>
            </c:strRef>
          </c:cat>
          <c:val>
            <c:numRef>
              <c:f>Graphiques!$B$18:$M$18</c:f>
              <c:numCache>
                <c:formatCode>0.0%</c:formatCode>
                <c:ptCount val="12"/>
                <c:pt idx="0">
                  <c:v>0.95992831642444798</c:v>
                </c:pt>
                <c:pt idx="1">
                  <c:v>0.95628251852745705</c:v>
                </c:pt>
                <c:pt idx="2">
                  <c:v>0.85107366100526805</c:v>
                </c:pt>
                <c:pt idx="3">
                  <c:v>0.62594498696370504</c:v>
                </c:pt>
                <c:pt idx="4">
                  <c:v>0.55715494255942699</c:v>
                </c:pt>
                <c:pt idx="5">
                  <c:v>0.49875542216157298</c:v>
                </c:pt>
                <c:pt idx="6">
                  <c:v>0.53590661622457103</c:v>
                </c:pt>
                <c:pt idx="7">
                  <c:v>0.74138327220631117</c:v>
                </c:pt>
                <c:pt idx="8">
                  <c:v>0.85721181187169371</c:v>
                </c:pt>
                <c:pt idx="9">
                  <c:v>0.8849044711089773</c:v>
                </c:pt>
                <c:pt idx="10">
                  <c:v>0.91331345260912045</c:v>
                </c:pt>
                <c:pt idx="11">
                  <c:v>0.95146852482544464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03-4AF2-9A9A-F337864AD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82202019"/>
        <c:axId val="74003590"/>
      </c:lineChart>
      <c:catAx>
        <c:axId val="8220201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 rot="-270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4003590"/>
        <c:crosses val="autoZero"/>
        <c:auto val="1"/>
        <c:lblAlgn val="ctr"/>
        <c:lblOffset val="100"/>
        <c:noMultiLvlLbl val="0"/>
      </c:catAx>
      <c:valAx>
        <c:axId val="74003590"/>
        <c:scaling>
          <c:orientation val="minMax"/>
          <c:max val="1"/>
          <c:min val="0.2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82202019"/>
        <c:crosses val="autoZero"/>
        <c:crossBetween val="between"/>
        <c:majorUnit val="0.2"/>
      </c:valAx>
      <c:spPr>
        <a:noFill/>
        <a:ln w="25560">
          <a:noFill/>
        </a:ln>
      </c:spPr>
    </c:plotArea>
    <c:legend>
      <c:legendPos val="b"/>
      <c:overlay val="0"/>
      <c:spPr>
        <a:noFill/>
        <a:ln w="2556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lang="fr-F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Evolution du taux de remplissage des barrages 
hors convention (à la décade)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Graphiques!$BG$4</c:f>
              <c:strCache>
                <c:ptCount val="1"/>
                <c:pt idx="0">
                  <c:v>2017/2018</c:v>
                </c:pt>
              </c:strCache>
            </c:strRef>
          </c:tx>
          <c:spPr>
            <a:ln w="2556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Graphiques!$BH$3:$CC$3</c:f>
              <c:strCache>
                <c:ptCount val="22"/>
                <c:pt idx="0">
                  <c:v>Juin 1</c:v>
                </c:pt>
                <c:pt idx="1">
                  <c:v>Juin 10</c:v>
                </c:pt>
                <c:pt idx="2">
                  <c:v>Juin 20</c:v>
                </c:pt>
                <c:pt idx="3">
                  <c:v>Juillet 1</c:v>
                </c:pt>
                <c:pt idx="4">
                  <c:v>Juillet 10</c:v>
                </c:pt>
                <c:pt idx="5">
                  <c:v>juillet 20</c:v>
                </c:pt>
                <c:pt idx="6">
                  <c:v>Aout 1</c:v>
                </c:pt>
                <c:pt idx="7">
                  <c:v>Aout 10</c:v>
                </c:pt>
                <c:pt idx="8">
                  <c:v>Aout 20</c:v>
                </c:pt>
                <c:pt idx="9">
                  <c:v>Septembre 1</c:v>
                </c:pt>
                <c:pt idx="10">
                  <c:v>Septembre 10</c:v>
                </c:pt>
                <c:pt idx="11">
                  <c:v>Septembre 20</c:v>
                </c:pt>
                <c:pt idx="12">
                  <c:v>Octobre 1</c:v>
                </c:pt>
                <c:pt idx="13">
                  <c:v>Octobre 10</c:v>
                </c:pt>
                <c:pt idx="14">
                  <c:v>Octobre 20</c:v>
                </c:pt>
                <c:pt idx="15">
                  <c:v>Novembre</c:v>
                </c:pt>
                <c:pt idx="16">
                  <c:v>Décembre</c:v>
                </c:pt>
                <c:pt idx="17">
                  <c:v>Janvier</c:v>
                </c:pt>
                <c:pt idx="18">
                  <c:v>Février</c:v>
                </c:pt>
                <c:pt idx="19">
                  <c:v>Mars</c:v>
                </c:pt>
                <c:pt idx="20">
                  <c:v>Avril</c:v>
                </c:pt>
                <c:pt idx="21">
                  <c:v>Mai</c:v>
                </c:pt>
              </c:strCache>
            </c:strRef>
          </c:cat>
          <c:val>
            <c:numRef>
              <c:f>Graphiques!$BH$4:$CC$4</c:f>
              <c:numCache>
                <c:formatCode>0.0%</c:formatCode>
                <c:ptCount val="22"/>
                <c:pt idx="0">
                  <c:v>0.74752581138257201</c:v>
                </c:pt>
                <c:pt idx="1">
                  <c:v>0.75589918561762104</c:v>
                </c:pt>
                <c:pt idx="2">
                  <c:v>0.74643022970695805</c:v>
                </c:pt>
                <c:pt idx="3">
                  <c:v>0.70659801021499502</c:v>
                </c:pt>
                <c:pt idx="4">
                  <c:v>0.68631740993995105</c:v>
                </c:pt>
                <c:pt idx="5">
                  <c:v>0.64594973888636698</c:v>
                </c:pt>
                <c:pt idx="6">
                  <c:v>0.60588275189248697</c:v>
                </c:pt>
                <c:pt idx="7">
                  <c:v>0.54372153444039195</c:v>
                </c:pt>
                <c:pt idx="8">
                  <c:v>0.472404384413525</c:v>
                </c:pt>
                <c:pt idx="9">
                  <c:v>0.41895564981035999</c:v>
                </c:pt>
                <c:pt idx="10">
                  <c:v>0.381943248869203</c:v>
                </c:pt>
                <c:pt idx="11">
                  <c:v>0.37683835996640203</c:v>
                </c:pt>
                <c:pt idx="12">
                  <c:v>0.35393548589047302</c:v>
                </c:pt>
                <c:pt idx="13">
                  <c:v>0.34733851908659802</c:v>
                </c:pt>
                <c:pt idx="14">
                  <c:v>0.309377419764929</c:v>
                </c:pt>
                <c:pt idx="15">
                  <c:v>0.31470061926449899</c:v>
                </c:pt>
                <c:pt idx="16">
                  <c:v>0.31613270102619501</c:v>
                </c:pt>
                <c:pt idx="17">
                  <c:v>0.44376700627711602</c:v>
                </c:pt>
                <c:pt idx="18">
                  <c:v>0.74790431375849797</c:v>
                </c:pt>
                <c:pt idx="19">
                  <c:v>0.88585327618654297</c:v>
                </c:pt>
                <c:pt idx="20">
                  <c:v>0.92486529779150195</c:v>
                </c:pt>
                <c:pt idx="21">
                  <c:v>0.961878321525656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6B-43E1-A491-DC0C91BB85FA}"/>
            </c:ext>
          </c:extLst>
        </c:ser>
        <c:ser>
          <c:idx val="1"/>
          <c:order val="1"/>
          <c:tx>
            <c:strRef>
              <c:f>Graphiques!$BG$5</c:f>
              <c:strCache>
                <c:ptCount val="1"/>
                <c:pt idx="0">
                  <c:v>2018/2019</c:v>
                </c:pt>
              </c:strCache>
            </c:strRef>
          </c:tx>
          <c:spPr>
            <a:ln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Graphiques!$BH$3:$CC$3</c:f>
              <c:strCache>
                <c:ptCount val="22"/>
                <c:pt idx="0">
                  <c:v>Juin 1</c:v>
                </c:pt>
                <c:pt idx="1">
                  <c:v>Juin 10</c:v>
                </c:pt>
                <c:pt idx="2">
                  <c:v>Juin 20</c:v>
                </c:pt>
                <c:pt idx="3">
                  <c:v>Juillet 1</c:v>
                </c:pt>
                <c:pt idx="4">
                  <c:v>Juillet 10</c:v>
                </c:pt>
                <c:pt idx="5">
                  <c:v>juillet 20</c:v>
                </c:pt>
                <c:pt idx="6">
                  <c:v>Aout 1</c:v>
                </c:pt>
                <c:pt idx="7">
                  <c:v>Aout 10</c:v>
                </c:pt>
                <c:pt idx="8">
                  <c:v>Aout 20</c:v>
                </c:pt>
                <c:pt idx="9">
                  <c:v>Septembre 1</c:v>
                </c:pt>
                <c:pt idx="10">
                  <c:v>Septembre 10</c:v>
                </c:pt>
                <c:pt idx="11">
                  <c:v>Septembre 20</c:v>
                </c:pt>
                <c:pt idx="12">
                  <c:v>Octobre 1</c:v>
                </c:pt>
                <c:pt idx="13">
                  <c:v>Octobre 10</c:v>
                </c:pt>
                <c:pt idx="14">
                  <c:v>Octobre 20</c:v>
                </c:pt>
                <c:pt idx="15">
                  <c:v>Novembre</c:v>
                </c:pt>
                <c:pt idx="16">
                  <c:v>Décembre</c:v>
                </c:pt>
                <c:pt idx="17">
                  <c:v>Janvier</c:v>
                </c:pt>
                <c:pt idx="18">
                  <c:v>Février</c:v>
                </c:pt>
                <c:pt idx="19">
                  <c:v>Mars</c:v>
                </c:pt>
                <c:pt idx="20">
                  <c:v>Avril</c:v>
                </c:pt>
                <c:pt idx="21">
                  <c:v>Mai</c:v>
                </c:pt>
              </c:strCache>
            </c:strRef>
          </c:cat>
          <c:val>
            <c:numRef>
              <c:f>Graphiques!$BH$5:$CC$5</c:f>
              <c:numCache>
                <c:formatCode>0.0%</c:formatCode>
                <c:ptCount val="22"/>
                <c:pt idx="0">
                  <c:v>0.98625031398732999</c:v>
                </c:pt>
                <c:pt idx="1">
                  <c:v>0.99282859513848998</c:v>
                </c:pt>
                <c:pt idx="2">
                  <c:v>0.99461204317309304</c:v>
                </c:pt>
                <c:pt idx="3">
                  <c:v>0.98777060447328402</c:v>
                </c:pt>
                <c:pt idx="4">
                  <c:v>0.97033460857123</c:v>
                </c:pt>
                <c:pt idx="5">
                  <c:v>0.96732900436973501</c:v>
                </c:pt>
                <c:pt idx="6">
                  <c:v>0.94381106313808505</c:v>
                </c:pt>
                <c:pt idx="7">
                  <c:v>0.86851986043838603</c:v>
                </c:pt>
                <c:pt idx="8">
                  <c:v>0.82695648628779495</c:v>
                </c:pt>
                <c:pt idx="9">
                  <c:v>0.75043169148098099</c:v>
                </c:pt>
                <c:pt idx="10">
                  <c:v>0.72094910314697502</c:v>
                </c:pt>
                <c:pt idx="11">
                  <c:v>0.69524494331131403</c:v>
                </c:pt>
                <c:pt idx="12">
                  <c:v>0.64297738271553095</c:v>
                </c:pt>
                <c:pt idx="13">
                  <c:v>0.61897879307339598</c:v>
                </c:pt>
                <c:pt idx="14">
                  <c:v>0.61850670888973502</c:v>
                </c:pt>
                <c:pt idx="15">
                  <c:v>0.60731475405093005</c:v>
                </c:pt>
                <c:pt idx="16">
                  <c:v>0.61481809776940799</c:v>
                </c:pt>
                <c:pt idx="17">
                  <c:v>0.68080853975136602</c:v>
                </c:pt>
                <c:pt idx="18">
                  <c:v>0.74333340774581402</c:v>
                </c:pt>
                <c:pt idx="19">
                  <c:v>0.87195231648240801</c:v>
                </c:pt>
                <c:pt idx="20">
                  <c:v>0.88303539889247995</c:v>
                </c:pt>
                <c:pt idx="21">
                  <c:v>0.91497936366823795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B-43E1-A491-DC0C91BB85FA}"/>
            </c:ext>
          </c:extLst>
        </c:ser>
        <c:ser>
          <c:idx val="2"/>
          <c:order val="2"/>
          <c:tx>
            <c:strRef>
              <c:f>Graphiques!$BG$6</c:f>
              <c:strCache>
                <c:ptCount val="1"/>
                <c:pt idx="0">
                  <c:v>2019/2020</c:v>
                </c:pt>
              </c:strCache>
            </c:strRef>
          </c:tx>
          <c:spPr>
            <a:ln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Graphiques!$BH$3:$CC$3</c:f>
              <c:strCache>
                <c:ptCount val="22"/>
                <c:pt idx="0">
                  <c:v>Juin 1</c:v>
                </c:pt>
                <c:pt idx="1">
                  <c:v>Juin 10</c:v>
                </c:pt>
                <c:pt idx="2">
                  <c:v>Juin 20</c:v>
                </c:pt>
                <c:pt idx="3">
                  <c:v>Juillet 1</c:v>
                </c:pt>
                <c:pt idx="4">
                  <c:v>Juillet 10</c:v>
                </c:pt>
                <c:pt idx="5">
                  <c:v>juillet 20</c:v>
                </c:pt>
                <c:pt idx="6">
                  <c:v>Aout 1</c:v>
                </c:pt>
                <c:pt idx="7">
                  <c:v>Aout 10</c:v>
                </c:pt>
                <c:pt idx="8">
                  <c:v>Aout 20</c:v>
                </c:pt>
                <c:pt idx="9">
                  <c:v>Septembre 1</c:v>
                </c:pt>
                <c:pt idx="10">
                  <c:v>Septembre 10</c:v>
                </c:pt>
                <c:pt idx="11">
                  <c:v>Septembre 20</c:v>
                </c:pt>
                <c:pt idx="12">
                  <c:v>Octobre 1</c:v>
                </c:pt>
                <c:pt idx="13">
                  <c:v>Octobre 10</c:v>
                </c:pt>
                <c:pt idx="14">
                  <c:v>Octobre 20</c:v>
                </c:pt>
                <c:pt idx="15">
                  <c:v>Novembre</c:v>
                </c:pt>
                <c:pt idx="16">
                  <c:v>Décembre</c:v>
                </c:pt>
                <c:pt idx="17">
                  <c:v>Janvier</c:v>
                </c:pt>
                <c:pt idx="18">
                  <c:v>Février</c:v>
                </c:pt>
                <c:pt idx="19">
                  <c:v>Mars</c:v>
                </c:pt>
                <c:pt idx="20">
                  <c:v>Avril</c:v>
                </c:pt>
                <c:pt idx="21">
                  <c:v>Mai</c:v>
                </c:pt>
              </c:strCache>
            </c:strRef>
          </c:cat>
          <c:val>
            <c:numRef>
              <c:f>Graphiques!$BH$6:$CC$6</c:f>
              <c:numCache>
                <c:formatCode>0.0%</c:formatCode>
                <c:ptCount val="22"/>
                <c:pt idx="0">
                  <c:v>0.96266025493715901</c:v>
                </c:pt>
                <c:pt idx="1">
                  <c:v>0.96576719486396301</c:v>
                </c:pt>
                <c:pt idx="2">
                  <c:v>0.966082353605482</c:v>
                </c:pt>
                <c:pt idx="3">
                  <c:v>0.94540794016186103</c:v>
                </c:pt>
                <c:pt idx="4">
                  <c:v>0.90416679251130305</c:v>
                </c:pt>
                <c:pt idx="5">
                  <c:v>0.81506091099260602</c:v>
                </c:pt>
                <c:pt idx="6">
                  <c:v>0.74425524706475599</c:v>
                </c:pt>
                <c:pt idx="7">
                  <c:v>0.65815650520471503</c:v>
                </c:pt>
                <c:pt idx="8">
                  <c:v>0.61226939243960399</c:v>
                </c:pt>
                <c:pt idx="9">
                  <c:v>0.53940994404619202</c:v>
                </c:pt>
                <c:pt idx="10">
                  <c:v>0.48978163438696998</c:v>
                </c:pt>
                <c:pt idx="11">
                  <c:v>0.45579885518587099</c:v>
                </c:pt>
                <c:pt idx="12">
                  <c:v>0.41797402829337599</c:v>
                </c:pt>
                <c:pt idx="13">
                  <c:v>0.39041864899326501</c:v>
                </c:pt>
                <c:pt idx="14">
                  <c:v>0.37374937788977602</c:v>
                </c:pt>
                <c:pt idx="15">
                  <c:v>0.38172026772735101</c:v>
                </c:pt>
                <c:pt idx="16">
                  <c:v>0.60520799820359505</c:v>
                </c:pt>
                <c:pt idx="17">
                  <c:v>0.81404452405120797</c:v>
                </c:pt>
                <c:pt idx="18">
                  <c:v>0.85969526776018002</c:v>
                </c:pt>
                <c:pt idx="19">
                  <c:v>0.88817248637923296</c:v>
                </c:pt>
                <c:pt idx="20">
                  <c:v>0.94588855724267595</c:v>
                </c:pt>
                <c:pt idx="21">
                  <c:v>0.97817657031125904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6B-43E1-A491-DC0C91BB85FA}"/>
            </c:ext>
          </c:extLst>
        </c:ser>
        <c:ser>
          <c:idx val="3"/>
          <c:order val="3"/>
          <c:tx>
            <c:strRef>
              <c:f>Graphiques!$BG$7</c:f>
              <c:strCache>
                <c:ptCount val="1"/>
                <c:pt idx="0">
                  <c:v>2020/2021</c:v>
                </c:pt>
              </c:strCache>
            </c:strRef>
          </c:tx>
          <c:spPr>
            <a:ln w="25560">
              <a:solidFill>
                <a:srgbClr val="BDD7E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Graphiques!$BH$3:$CC$3</c:f>
              <c:strCache>
                <c:ptCount val="22"/>
                <c:pt idx="0">
                  <c:v>Juin 1</c:v>
                </c:pt>
                <c:pt idx="1">
                  <c:v>Juin 10</c:v>
                </c:pt>
                <c:pt idx="2">
                  <c:v>Juin 20</c:v>
                </c:pt>
                <c:pt idx="3">
                  <c:v>Juillet 1</c:v>
                </c:pt>
                <c:pt idx="4">
                  <c:v>Juillet 10</c:v>
                </c:pt>
                <c:pt idx="5">
                  <c:v>juillet 20</c:v>
                </c:pt>
                <c:pt idx="6">
                  <c:v>Aout 1</c:v>
                </c:pt>
                <c:pt idx="7">
                  <c:v>Aout 10</c:v>
                </c:pt>
                <c:pt idx="8">
                  <c:v>Aout 20</c:v>
                </c:pt>
                <c:pt idx="9">
                  <c:v>Septembre 1</c:v>
                </c:pt>
                <c:pt idx="10">
                  <c:v>Septembre 10</c:v>
                </c:pt>
                <c:pt idx="11">
                  <c:v>Septembre 20</c:v>
                </c:pt>
                <c:pt idx="12">
                  <c:v>Octobre 1</c:v>
                </c:pt>
                <c:pt idx="13">
                  <c:v>Octobre 10</c:v>
                </c:pt>
                <c:pt idx="14">
                  <c:v>Octobre 20</c:v>
                </c:pt>
                <c:pt idx="15">
                  <c:v>Novembre</c:v>
                </c:pt>
                <c:pt idx="16">
                  <c:v>Décembre</c:v>
                </c:pt>
                <c:pt idx="17">
                  <c:v>Janvier</c:v>
                </c:pt>
                <c:pt idx="18">
                  <c:v>Février</c:v>
                </c:pt>
                <c:pt idx="19">
                  <c:v>Mars</c:v>
                </c:pt>
                <c:pt idx="20">
                  <c:v>Avril</c:v>
                </c:pt>
                <c:pt idx="21">
                  <c:v>Mai</c:v>
                </c:pt>
              </c:strCache>
            </c:strRef>
          </c:cat>
          <c:val>
            <c:numRef>
              <c:f>Graphiques!$BH$7:$CC$7</c:f>
              <c:numCache>
                <c:formatCode>0.0%</c:formatCode>
                <c:ptCount val="22"/>
                <c:pt idx="0">
                  <c:v>0.98694060964832198</c:v>
                </c:pt>
                <c:pt idx="1">
                  <c:v>0.98824589210277802</c:v>
                </c:pt>
                <c:pt idx="2">
                  <c:v>0.98704828888500795</c:v>
                </c:pt>
                <c:pt idx="3">
                  <c:v>0.97990469074391895</c:v>
                </c:pt>
                <c:pt idx="4">
                  <c:v>0.94549198249293198</c:v>
                </c:pt>
                <c:pt idx="5">
                  <c:v>0.86939953067610698</c:v>
                </c:pt>
                <c:pt idx="6">
                  <c:v>0.79058681853533697</c:v>
                </c:pt>
                <c:pt idx="7">
                  <c:v>0.66098787700327899</c:v>
                </c:pt>
                <c:pt idx="8">
                  <c:v>0.59346229453948096</c:v>
                </c:pt>
                <c:pt idx="9">
                  <c:v>0.51065696152830997</c:v>
                </c:pt>
                <c:pt idx="10">
                  <c:v>0.478263895545888</c:v>
                </c:pt>
                <c:pt idx="11">
                  <c:v>0.42707423695472602</c:v>
                </c:pt>
                <c:pt idx="12">
                  <c:v>0.41972053298595802</c:v>
                </c:pt>
                <c:pt idx="13">
                  <c:v>0.44950828670516002</c:v>
                </c:pt>
                <c:pt idx="14">
                  <c:v>0.46784789913869801</c:v>
                </c:pt>
                <c:pt idx="15">
                  <c:v>0.49802697496195097</c:v>
                </c:pt>
                <c:pt idx="16">
                  <c:v>0.52008020789971698</c:v>
                </c:pt>
                <c:pt idx="17">
                  <c:v>0.76840582352027498</c:v>
                </c:pt>
                <c:pt idx="18">
                  <c:v>0.87499406274110103</c:v>
                </c:pt>
                <c:pt idx="19">
                  <c:v>0.93404571881912102</c:v>
                </c:pt>
                <c:pt idx="20">
                  <c:v>0.93864404560328296</c:v>
                </c:pt>
                <c:pt idx="21">
                  <c:v>0.93150906507107401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6B-43E1-A491-DC0C91BB85FA}"/>
            </c:ext>
          </c:extLst>
        </c:ser>
        <c:ser>
          <c:idx val="4"/>
          <c:order val="4"/>
          <c:tx>
            <c:strRef>
              <c:f>Graphiques!$BG$8</c:f>
              <c:strCache>
                <c:ptCount val="1"/>
                <c:pt idx="0">
                  <c:v>2021/2022</c:v>
                </c:pt>
              </c:strCache>
            </c:strRef>
          </c:tx>
          <c:spPr>
            <a:ln w="25560">
              <a:solidFill>
                <a:srgbClr val="C5E0B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Graphiques!$BH$3:$CC$3</c:f>
              <c:strCache>
                <c:ptCount val="22"/>
                <c:pt idx="0">
                  <c:v>Juin 1</c:v>
                </c:pt>
                <c:pt idx="1">
                  <c:v>Juin 10</c:v>
                </c:pt>
                <c:pt idx="2">
                  <c:v>Juin 20</c:v>
                </c:pt>
                <c:pt idx="3">
                  <c:v>Juillet 1</c:v>
                </c:pt>
                <c:pt idx="4">
                  <c:v>Juillet 10</c:v>
                </c:pt>
                <c:pt idx="5">
                  <c:v>juillet 20</c:v>
                </c:pt>
                <c:pt idx="6">
                  <c:v>Aout 1</c:v>
                </c:pt>
                <c:pt idx="7">
                  <c:v>Aout 10</c:v>
                </c:pt>
                <c:pt idx="8">
                  <c:v>Aout 20</c:v>
                </c:pt>
                <c:pt idx="9">
                  <c:v>Septembre 1</c:v>
                </c:pt>
                <c:pt idx="10">
                  <c:v>Septembre 10</c:v>
                </c:pt>
                <c:pt idx="11">
                  <c:v>Septembre 20</c:v>
                </c:pt>
                <c:pt idx="12">
                  <c:v>Octobre 1</c:v>
                </c:pt>
                <c:pt idx="13">
                  <c:v>Octobre 10</c:v>
                </c:pt>
                <c:pt idx="14">
                  <c:v>Octobre 20</c:v>
                </c:pt>
                <c:pt idx="15">
                  <c:v>Novembre</c:v>
                </c:pt>
                <c:pt idx="16">
                  <c:v>Décembre</c:v>
                </c:pt>
                <c:pt idx="17">
                  <c:v>Janvier</c:v>
                </c:pt>
                <c:pt idx="18">
                  <c:v>Février</c:v>
                </c:pt>
                <c:pt idx="19">
                  <c:v>Mars</c:v>
                </c:pt>
                <c:pt idx="20">
                  <c:v>Avril</c:v>
                </c:pt>
                <c:pt idx="21">
                  <c:v>Mai</c:v>
                </c:pt>
              </c:strCache>
            </c:strRef>
          </c:cat>
          <c:val>
            <c:numRef>
              <c:f>Graphiques!$BH$8:$CC$8</c:f>
              <c:numCache>
                <c:formatCode>0.0%</c:formatCode>
                <c:ptCount val="22"/>
                <c:pt idx="0">
                  <c:v>0.95992831642444798</c:v>
                </c:pt>
                <c:pt idx="1">
                  <c:v>0.962313489837338</c:v>
                </c:pt>
                <c:pt idx="2">
                  <c:v>0.95575362108606299</c:v>
                </c:pt>
                <c:pt idx="3">
                  <c:v>0.95628251852745705</c:v>
                </c:pt>
                <c:pt idx="4">
                  <c:v>0.93796110036342495</c:v>
                </c:pt>
                <c:pt idx="5">
                  <c:v>0.919893861066858</c:v>
                </c:pt>
                <c:pt idx="6">
                  <c:v>0.85107366100526805</c:v>
                </c:pt>
                <c:pt idx="7">
                  <c:v>0.83094663123290602</c:v>
                </c:pt>
                <c:pt idx="8">
                  <c:v>0.70580079822434205</c:v>
                </c:pt>
                <c:pt idx="9">
                  <c:v>0.62594498696370504</c:v>
                </c:pt>
                <c:pt idx="10">
                  <c:v>0.58241107911766599</c:v>
                </c:pt>
                <c:pt idx="11">
                  <c:v>0.52403980081619705</c:v>
                </c:pt>
                <c:pt idx="12">
                  <c:v>0.55715494255942699</c:v>
                </c:pt>
                <c:pt idx="13">
                  <c:v>0.54938323112689802</c:v>
                </c:pt>
                <c:pt idx="14">
                  <c:v>0.52301538295640804</c:v>
                </c:pt>
                <c:pt idx="15">
                  <c:v>0.49875542216157298</c:v>
                </c:pt>
                <c:pt idx="16">
                  <c:v>0.53590661622457103</c:v>
                </c:pt>
                <c:pt idx="17">
                  <c:v>0.74138327220631095</c:v>
                </c:pt>
                <c:pt idx="18">
                  <c:v>0.85721181187169404</c:v>
                </c:pt>
                <c:pt idx="19">
                  <c:v>0.88490447110897696</c:v>
                </c:pt>
                <c:pt idx="20">
                  <c:v>0.91331345260912</c:v>
                </c:pt>
                <c:pt idx="21">
                  <c:v>0.95146852482544497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6B-43E1-A491-DC0C91BB85FA}"/>
            </c:ext>
          </c:extLst>
        </c:ser>
        <c:ser>
          <c:idx val="5"/>
          <c:order val="5"/>
          <c:tx>
            <c:strRef>
              <c:f>Graphiques!$BG$9</c:f>
              <c:strCache>
                <c:ptCount val="1"/>
                <c:pt idx="0">
                  <c:v>2022/2023</c:v>
                </c:pt>
              </c:strCache>
            </c:strRef>
          </c:tx>
          <c:spPr>
            <a:ln w="223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Graphiques!$BH$3:$CC$3</c:f>
              <c:strCache>
                <c:ptCount val="22"/>
                <c:pt idx="0">
                  <c:v>Juin 1</c:v>
                </c:pt>
                <c:pt idx="1">
                  <c:v>Juin 10</c:v>
                </c:pt>
                <c:pt idx="2">
                  <c:v>Juin 20</c:v>
                </c:pt>
                <c:pt idx="3">
                  <c:v>Juillet 1</c:v>
                </c:pt>
                <c:pt idx="4">
                  <c:v>Juillet 10</c:v>
                </c:pt>
                <c:pt idx="5">
                  <c:v>juillet 20</c:v>
                </c:pt>
                <c:pt idx="6">
                  <c:v>Aout 1</c:v>
                </c:pt>
                <c:pt idx="7">
                  <c:v>Aout 10</c:v>
                </c:pt>
                <c:pt idx="8">
                  <c:v>Aout 20</c:v>
                </c:pt>
                <c:pt idx="9">
                  <c:v>Septembre 1</c:v>
                </c:pt>
                <c:pt idx="10">
                  <c:v>Septembre 10</c:v>
                </c:pt>
                <c:pt idx="11">
                  <c:v>Septembre 20</c:v>
                </c:pt>
                <c:pt idx="12">
                  <c:v>Octobre 1</c:v>
                </c:pt>
                <c:pt idx="13">
                  <c:v>Octobre 10</c:v>
                </c:pt>
                <c:pt idx="14">
                  <c:v>Octobre 20</c:v>
                </c:pt>
                <c:pt idx="15">
                  <c:v>Novembre</c:v>
                </c:pt>
                <c:pt idx="16">
                  <c:v>Décembre</c:v>
                </c:pt>
                <c:pt idx="17">
                  <c:v>Janvier</c:v>
                </c:pt>
                <c:pt idx="18">
                  <c:v>Février</c:v>
                </c:pt>
                <c:pt idx="19">
                  <c:v>Mars</c:v>
                </c:pt>
                <c:pt idx="20">
                  <c:v>Avril</c:v>
                </c:pt>
                <c:pt idx="21">
                  <c:v>Mai</c:v>
                </c:pt>
              </c:strCache>
            </c:strRef>
          </c:cat>
          <c:val>
            <c:numRef>
              <c:f>Graphiques!$BH$9:$BX$9</c:f>
              <c:numCache>
                <c:formatCode>0.0%</c:formatCode>
                <c:ptCount val="17"/>
                <c:pt idx="0">
                  <c:v>0.94957116944102482</c:v>
                </c:pt>
                <c:pt idx="1">
                  <c:v>0.92591712998681619</c:v>
                </c:pt>
                <c:pt idx="2">
                  <c:v>0.91476920430460906</c:v>
                </c:pt>
                <c:pt idx="3">
                  <c:v>0.87813663782977469</c:v>
                </c:pt>
                <c:pt idx="4">
                  <c:v>0.81234795803224491</c:v>
                </c:pt>
                <c:pt idx="5">
                  <c:v>0.72650995726457335</c:v>
                </c:pt>
                <c:pt idx="6">
                  <c:v>0.57689360046933236</c:v>
                </c:pt>
                <c:pt idx="7">
                  <c:v>0.50099149202320292</c:v>
                </c:pt>
                <c:pt idx="8">
                  <c:v>0.40506449410042922</c:v>
                </c:pt>
                <c:pt idx="9">
                  <c:v>0.36278256538366255</c:v>
                </c:pt>
                <c:pt idx="10">
                  <c:v>0.33673821758994793</c:v>
                </c:pt>
                <c:pt idx="11">
                  <c:v>0.30865016900327225</c:v>
                </c:pt>
                <c:pt idx="12">
                  <c:v>0.28368415579880846</c:v>
                </c:pt>
                <c:pt idx="13">
                  <c:v>0.27060036278256538</c:v>
                </c:pt>
                <c:pt idx="14">
                  <c:v>0.25888759517265553</c:v>
                </c:pt>
                <c:pt idx="15">
                  <c:v>0.24357781146860183</c:v>
                </c:pt>
                <c:pt idx="16">
                  <c:v>0.27292391707607017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6B-43E1-A491-DC0C91BB8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95013358"/>
        <c:axId val="85647717"/>
      </c:lineChart>
      <c:catAx>
        <c:axId val="9501335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 rot="-270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85647717"/>
        <c:crosses val="autoZero"/>
        <c:auto val="1"/>
        <c:lblAlgn val="ctr"/>
        <c:lblOffset val="100"/>
        <c:noMultiLvlLbl val="0"/>
      </c:catAx>
      <c:valAx>
        <c:axId val="85647717"/>
        <c:scaling>
          <c:orientation val="minMax"/>
          <c:max val="1"/>
          <c:min val="0.2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95013358"/>
        <c:crosses val="autoZero"/>
        <c:crossBetween val="between"/>
        <c:majorUnit val="0.2"/>
      </c:valAx>
      <c:spPr>
        <a:noFill/>
        <a:ln w="25560">
          <a:noFill/>
        </a:ln>
      </c:spPr>
    </c:plotArea>
    <c:legend>
      <c:legendPos val="b"/>
      <c:overlay val="0"/>
      <c:spPr>
        <a:noFill/>
        <a:ln w="2556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61</xdr:col>
      <xdr:colOff>2369315</xdr:colOff>
      <xdr:row>59</xdr:row>
      <xdr:rowOff>128880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10079280" cy="95202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61</xdr:col>
      <xdr:colOff>2369315</xdr:colOff>
      <xdr:row>59</xdr:row>
      <xdr:rowOff>128880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10079280" cy="95202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61</xdr:col>
      <xdr:colOff>2369315</xdr:colOff>
      <xdr:row>59</xdr:row>
      <xdr:rowOff>128880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10079280" cy="95202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61</xdr:col>
      <xdr:colOff>2369315</xdr:colOff>
      <xdr:row>59</xdr:row>
      <xdr:rowOff>128880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10079280" cy="95202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61</xdr:col>
      <xdr:colOff>2369315</xdr:colOff>
      <xdr:row>59</xdr:row>
      <xdr:rowOff>128880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10079280" cy="95202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61</xdr:col>
      <xdr:colOff>2369315</xdr:colOff>
      <xdr:row>59</xdr:row>
      <xdr:rowOff>128880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0" y="0"/>
          <a:ext cx="10079280" cy="95202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61</xdr:col>
      <xdr:colOff>2369315</xdr:colOff>
      <xdr:row>59</xdr:row>
      <xdr:rowOff>128880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0" y="0"/>
          <a:ext cx="10079280" cy="95202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61</xdr:col>
      <xdr:colOff>2369315</xdr:colOff>
      <xdr:row>59</xdr:row>
      <xdr:rowOff>128880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0" y="0"/>
          <a:ext cx="10079280" cy="95202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61</xdr:col>
      <xdr:colOff>2369315</xdr:colOff>
      <xdr:row>59</xdr:row>
      <xdr:rowOff>128880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0" y="0"/>
          <a:ext cx="10079280" cy="95202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61</xdr:col>
      <xdr:colOff>2369315</xdr:colOff>
      <xdr:row>59</xdr:row>
      <xdr:rowOff>128880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0" y="0"/>
          <a:ext cx="10079280" cy="95202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61</xdr:col>
      <xdr:colOff>2369315</xdr:colOff>
      <xdr:row>59</xdr:row>
      <xdr:rowOff>128880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0" y="0"/>
          <a:ext cx="10079280" cy="95202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61</xdr:col>
      <xdr:colOff>2369315</xdr:colOff>
      <xdr:row>59</xdr:row>
      <xdr:rowOff>128880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0" y="0"/>
          <a:ext cx="10079280" cy="95202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61</xdr:col>
      <xdr:colOff>2369315</xdr:colOff>
      <xdr:row>59</xdr:row>
      <xdr:rowOff>128880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0" y="0"/>
          <a:ext cx="10079280" cy="95202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61</xdr:col>
      <xdr:colOff>2369315</xdr:colOff>
      <xdr:row>59</xdr:row>
      <xdr:rowOff>128880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0" y="0"/>
          <a:ext cx="10079280" cy="95202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61</xdr:col>
      <xdr:colOff>2369315</xdr:colOff>
      <xdr:row>59</xdr:row>
      <xdr:rowOff>128880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0" y="0"/>
          <a:ext cx="10079280" cy="95202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61</xdr:col>
      <xdr:colOff>2369315</xdr:colOff>
      <xdr:row>59</xdr:row>
      <xdr:rowOff>128880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0" y="0"/>
          <a:ext cx="10079280" cy="95202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364320</xdr:colOff>
      <xdr:row>51</xdr:row>
      <xdr:rowOff>360</xdr:rowOff>
    </xdr:from>
    <xdr:to>
      <xdr:col>8</xdr:col>
      <xdr:colOff>250920</xdr:colOff>
      <xdr:row>71</xdr:row>
      <xdr:rowOff>23040</xdr:rowOff>
    </xdr:to>
    <xdr:graphicFrame macro="">
      <xdr:nvGraphicFramePr>
        <xdr:cNvPr id="16" name="Graphiqu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311040</xdr:colOff>
      <xdr:row>10</xdr:row>
      <xdr:rowOff>56160</xdr:rowOff>
    </xdr:from>
    <xdr:to>
      <xdr:col>28</xdr:col>
      <xdr:colOff>256680</xdr:colOff>
      <xdr:row>29</xdr:row>
      <xdr:rowOff>37800</xdr:rowOff>
    </xdr:to>
    <xdr:graphicFrame macro="">
      <xdr:nvGraphicFramePr>
        <xdr:cNvPr id="17" name="Graphique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93960</xdr:colOff>
      <xdr:row>53</xdr:row>
      <xdr:rowOff>134280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0" y="0"/>
          <a:ext cx="10072080" cy="889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93960</xdr:colOff>
      <xdr:row>53</xdr:row>
      <xdr:rowOff>134280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0" y="0"/>
          <a:ext cx="10072080" cy="889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93960</xdr:colOff>
      <xdr:row>53</xdr:row>
      <xdr:rowOff>134280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0" y="0"/>
          <a:ext cx="10072080" cy="889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93960</xdr:colOff>
      <xdr:row>53</xdr:row>
      <xdr:rowOff>134280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0" y="0"/>
          <a:ext cx="10072080" cy="889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93960</xdr:colOff>
      <xdr:row>53</xdr:row>
      <xdr:rowOff>134280</xdr:rowOff>
    </xdr:to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0" y="0"/>
          <a:ext cx="10072080" cy="889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93960</xdr:colOff>
      <xdr:row>53</xdr:row>
      <xdr:rowOff>134280</xdr:rowOff>
    </xdr:to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0"/>
          <a:ext cx="10072080" cy="889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93960</xdr:colOff>
      <xdr:row>53</xdr:row>
      <xdr:rowOff>134280</xdr:rowOff>
    </xdr:to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0" y="0"/>
          <a:ext cx="10072080" cy="889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93960</xdr:colOff>
      <xdr:row>53</xdr:row>
      <xdr:rowOff>134280</xdr:rowOff>
    </xdr:to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0" y="0"/>
          <a:ext cx="10072080" cy="889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93960</xdr:colOff>
      <xdr:row>53</xdr:row>
      <xdr:rowOff>134280</xdr:rowOff>
    </xdr:to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0" y="0"/>
          <a:ext cx="10072080" cy="889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93960</xdr:colOff>
      <xdr:row>53</xdr:row>
      <xdr:rowOff>134280</xdr:rowOff>
    </xdr:to>
    <xdr:sp macro="" textlink="">
      <xdr:nvSpPr>
        <xdr:cNvPr id="27" name="CustomShape 1" hidden="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0" y="0"/>
          <a:ext cx="10072080" cy="889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93960</xdr:colOff>
      <xdr:row>53</xdr:row>
      <xdr:rowOff>134280</xdr:rowOff>
    </xdr:to>
    <xdr:sp macro="" textlink="">
      <xdr:nvSpPr>
        <xdr:cNvPr id="28" name="CustomShape 1" hidden="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0" y="0"/>
          <a:ext cx="10072080" cy="889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93960</xdr:colOff>
      <xdr:row>53</xdr:row>
      <xdr:rowOff>134280</xdr:rowOff>
    </xdr:to>
    <xdr:sp macro="" textlink="">
      <xdr:nvSpPr>
        <xdr:cNvPr id="29" name="CustomShape 1" hidden="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0" y="0"/>
          <a:ext cx="10072080" cy="889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93960</xdr:colOff>
      <xdr:row>53</xdr:row>
      <xdr:rowOff>134280</xdr:rowOff>
    </xdr:to>
    <xdr:sp macro="" textlink="">
      <xdr:nvSpPr>
        <xdr:cNvPr id="30" name="CustomShape 1" hidden="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0" y="0"/>
          <a:ext cx="10072080" cy="889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93960</xdr:colOff>
      <xdr:row>53</xdr:row>
      <xdr:rowOff>134280</xdr:rowOff>
    </xdr:to>
    <xdr:sp macro="" textlink="">
      <xdr:nvSpPr>
        <xdr:cNvPr id="31" name="CustomShape 1" hidden="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0" y="0"/>
          <a:ext cx="10072080" cy="889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94320</xdr:colOff>
      <xdr:row>55</xdr:row>
      <xdr:rowOff>47160</xdr:rowOff>
    </xdr:to>
    <xdr:sp macro="" textlink="">
      <xdr:nvSpPr>
        <xdr:cNvPr id="32" name="CustomShape 1" hidden="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0" y="0"/>
          <a:ext cx="10072440" cy="9133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94320</xdr:colOff>
      <xdr:row>55</xdr:row>
      <xdr:rowOff>47160</xdr:rowOff>
    </xdr:to>
    <xdr:sp macro="" textlink="">
      <xdr:nvSpPr>
        <xdr:cNvPr id="33" name="CustomShape 1" hidden="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0" y="0"/>
          <a:ext cx="10072440" cy="9133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94320</xdr:colOff>
      <xdr:row>55</xdr:row>
      <xdr:rowOff>47160</xdr:rowOff>
    </xdr:to>
    <xdr:sp macro="" textlink="">
      <xdr:nvSpPr>
        <xdr:cNvPr id="34" name="CustomShape 1" hidden="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0" y="0"/>
          <a:ext cx="10072440" cy="9133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94320</xdr:colOff>
      <xdr:row>55</xdr:row>
      <xdr:rowOff>47160</xdr:rowOff>
    </xdr:to>
    <xdr:sp macro="" textlink="">
      <xdr:nvSpPr>
        <xdr:cNvPr id="35" name="CustomShape 1" hidden="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0" y="0"/>
          <a:ext cx="10072440" cy="9133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94320</xdr:colOff>
      <xdr:row>55</xdr:row>
      <xdr:rowOff>47160</xdr:rowOff>
    </xdr:to>
    <xdr:sp macro="" textlink="">
      <xdr:nvSpPr>
        <xdr:cNvPr id="36" name="CustomShape 1" hidden="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0" y="0"/>
          <a:ext cx="10072440" cy="9133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94320</xdr:colOff>
      <xdr:row>55</xdr:row>
      <xdr:rowOff>47160</xdr:rowOff>
    </xdr:to>
    <xdr:sp macro="" textlink="">
      <xdr:nvSpPr>
        <xdr:cNvPr id="37" name="CustomShape 1" hidden="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0" y="0"/>
          <a:ext cx="10072440" cy="9133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94320</xdr:colOff>
      <xdr:row>55</xdr:row>
      <xdr:rowOff>47160</xdr:rowOff>
    </xdr:to>
    <xdr:sp macro="" textlink="">
      <xdr:nvSpPr>
        <xdr:cNvPr id="38" name="CustomShape 1" hidden="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0" y="0"/>
          <a:ext cx="10072440" cy="9133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94320</xdr:colOff>
      <xdr:row>55</xdr:row>
      <xdr:rowOff>47160</xdr:rowOff>
    </xdr:to>
    <xdr:sp macro="" textlink="">
      <xdr:nvSpPr>
        <xdr:cNvPr id="39" name="CustomShape 1" hidden="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0" y="0"/>
          <a:ext cx="10072440" cy="9133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94320</xdr:colOff>
      <xdr:row>55</xdr:row>
      <xdr:rowOff>47160</xdr:rowOff>
    </xdr:to>
    <xdr:sp macro="" textlink="">
      <xdr:nvSpPr>
        <xdr:cNvPr id="40" name="CustomShape 1" hidden="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0" y="0"/>
          <a:ext cx="10072440" cy="9133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94320</xdr:colOff>
      <xdr:row>55</xdr:row>
      <xdr:rowOff>47160</xdr:rowOff>
    </xdr:to>
    <xdr:sp macro="" textlink="">
      <xdr:nvSpPr>
        <xdr:cNvPr id="41" name="CustomShape 1" hidden="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0" y="0"/>
          <a:ext cx="10072440" cy="9133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94320</xdr:colOff>
      <xdr:row>55</xdr:row>
      <xdr:rowOff>47160</xdr:rowOff>
    </xdr:to>
    <xdr:sp macro="" textlink="">
      <xdr:nvSpPr>
        <xdr:cNvPr id="42" name="CustomShape 1" hidden="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0" y="0"/>
          <a:ext cx="10072440" cy="9133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94320</xdr:colOff>
      <xdr:row>55</xdr:row>
      <xdr:rowOff>47160</xdr:rowOff>
    </xdr:to>
    <xdr:sp macro="" textlink="">
      <xdr:nvSpPr>
        <xdr:cNvPr id="43" name="CustomShape 1" hidden="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0" y="0"/>
          <a:ext cx="10072440" cy="9133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94320</xdr:colOff>
      <xdr:row>55</xdr:row>
      <xdr:rowOff>47160</xdr:rowOff>
    </xdr:to>
    <xdr:sp macro="" textlink="">
      <xdr:nvSpPr>
        <xdr:cNvPr id="44" name="CustomShape 1" hidden="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0" y="0"/>
          <a:ext cx="10072440" cy="9133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94320</xdr:colOff>
      <xdr:row>55</xdr:row>
      <xdr:rowOff>47160</xdr:rowOff>
    </xdr:to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0" y="0"/>
          <a:ext cx="10072440" cy="9133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29</xdr:col>
      <xdr:colOff>169200</xdr:colOff>
      <xdr:row>10</xdr:row>
      <xdr:rowOff>68040</xdr:rowOff>
    </xdr:from>
    <xdr:to>
      <xdr:col>41</xdr:col>
      <xdr:colOff>367200</xdr:colOff>
      <xdr:row>29</xdr:row>
      <xdr:rowOff>54000</xdr:rowOff>
    </xdr:to>
    <xdr:graphicFrame macro="">
      <xdr:nvGraphicFramePr>
        <xdr:cNvPr id="46" name="Graphique 1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barra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ez-moi"/>
      <sheetName val="Réserves 2021"/>
      <sheetName val="Graphiques"/>
      <sheetName val="Bilan_BSH"/>
    </sheetNames>
    <sheetDataSet>
      <sheetData sheetId="0"/>
      <sheetData sheetId="1">
        <row r="60">
          <cell r="Q60">
            <v>389.48950000000002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1"/>
  <sheetViews>
    <sheetView topLeftCell="A13" zoomScale="85" zoomScaleNormal="85" workbookViewId="0">
      <selection activeCell="M18" sqref="M18"/>
    </sheetView>
  </sheetViews>
  <sheetFormatPr baseColWidth="10" defaultColWidth="11.28515625" defaultRowHeight="12.75"/>
  <cols>
    <col min="1" max="1" width="11.28515625" style="3"/>
    <col min="2" max="2" width="11.42578125" style="3" customWidth="1"/>
    <col min="3" max="1024" width="11.28515625" style="3"/>
  </cols>
  <sheetData>
    <row r="1" spans="1:8" ht="15" customHeight="1">
      <c r="A1" s="432" t="s">
        <v>0</v>
      </c>
      <c r="B1" s="432"/>
      <c r="C1" s="432"/>
      <c r="D1" s="432"/>
      <c r="E1" s="432"/>
      <c r="F1" s="432"/>
      <c r="G1" s="432"/>
      <c r="H1" s="432"/>
    </row>
    <row r="2" spans="1:8" ht="33" customHeight="1">
      <c r="A2" s="432" t="s">
        <v>1</v>
      </c>
      <c r="B2" s="432"/>
      <c r="C2" s="432"/>
      <c r="D2" s="432"/>
      <c r="E2" s="432"/>
      <c r="F2" s="432"/>
      <c r="G2" s="432"/>
      <c r="H2" s="432"/>
    </row>
    <row r="3" spans="1:8" ht="14.25">
      <c r="A3" s="4"/>
      <c r="B3" s="4"/>
      <c r="C3" s="4"/>
      <c r="D3" s="4"/>
      <c r="E3" s="4"/>
      <c r="F3" s="4"/>
      <c r="G3" s="4"/>
      <c r="H3" s="4"/>
    </row>
    <row r="4" spans="1:8" ht="121.5" customHeight="1">
      <c r="A4" s="429" t="s">
        <v>2</v>
      </c>
      <c r="B4" s="429"/>
      <c r="C4" s="429"/>
      <c r="D4" s="429"/>
      <c r="E4" s="429"/>
      <c r="F4" s="429"/>
      <c r="G4" s="429"/>
      <c r="H4" s="429"/>
    </row>
    <row r="5" spans="1:8" ht="55.5" customHeight="1">
      <c r="A5" s="431" t="s">
        <v>3</v>
      </c>
      <c r="B5" s="431"/>
      <c r="C5" s="431"/>
      <c r="D5" s="431"/>
      <c r="E5" s="431"/>
      <c r="F5" s="431"/>
      <c r="G5" s="431"/>
      <c r="H5" s="431"/>
    </row>
    <row r="6" spans="1:8" ht="130.5" customHeight="1">
      <c r="A6" s="431" t="s">
        <v>4</v>
      </c>
      <c r="B6" s="431"/>
      <c r="C6" s="431"/>
      <c r="D6" s="431"/>
      <c r="E6" s="431"/>
      <c r="F6" s="431"/>
      <c r="G6" s="431"/>
      <c r="H6" s="431"/>
    </row>
    <row r="7" spans="1:8" ht="69" customHeight="1">
      <c r="A7" s="429" t="s">
        <v>5</v>
      </c>
      <c r="B7" s="429"/>
      <c r="C7" s="429"/>
      <c r="D7" s="429"/>
      <c r="E7" s="429"/>
      <c r="F7" s="429"/>
      <c r="G7" s="429"/>
      <c r="H7" s="429"/>
    </row>
    <row r="8" spans="1:8" ht="57" customHeight="1">
      <c r="A8" s="429" t="s">
        <v>6</v>
      </c>
      <c r="B8" s="429"/>
      <c r="C8" s="429"/>
      <c r="D8" s="429"/>
      <c r="E8" s="429"/>
      <c r="F8" s="429"/>
      <c r="G8" s="429"/>
      <c r="H8" s="429"/>
    </row>
    <row r="9" spans="1:8" ht="179.25" customHeight="1">
      <c r="A9" s="431" t="s">
        <v>7</v>
      </c>
      <c r="B9" s="431"/>
      <c r="C9" s="431"/>
      <c r="D9" s="431"/>
      <c r="E9" s="431"/>
      <c r="F9" s="431"/>
      <c r="G9" s="431"/>
      <c r="H9" s="431"/>
    </row>
    <row r="10" spans="1:8" ht="83.25" customHeight="1">
      <c r="A10" s="431" t="s">
        <v>8</v>
      </c>
      <c r="B10" s="431"/>
      <c r="C10" s="431"/>
      <c r="D10" s="431"/>
      <c r="E10" s="431"/>
      <c r="F10" s="431"/>
      <c r="G10" s="431"/>
      <c r="H10" s="431"/>
    </row>
    <row r="11" spans="1:8" ht="43.5" customHeight="1">
      <c r="A11" s="429" t="s">
        <v>9</v>
      </c>
      <c r="B11" s="429"/>
      <c r="C11" s="429"/>
      <c r="D11" s="429"/>
      <c r="E11" s="429"/>
      <c r="F11" s="429"/>
      <c r="G11" s="429"/>
      <c r="H11" s="429"/>
    </row>
    <row r="12" spans="1:8" ht="35.25" customHeight="1">
      <c r="A12" s="429" t="s">
        <v>10</v>
      </c>
      <c r="B12" s="429"/>
      <c r="C12" s="429"/>
      <c r="D12" s="429"/>
      <c r="E12" s="429"/>
      <c r="F12" s="429"/>
      <c r="G12" s="429"/>
      <c r="H12" s="429"/>
    </row>
    <row r="13" spans="1:8" ht="78.75" customHeight="1">
      <c r="A13" s="429" t="s">
        <v>11</v>
      </c>
      <c r="B13" s="429"/>
      <c r="C13" s="429"/>
      <c r="D13" s="429"/>
      <c r="E13" s="429"/>
      <c r="F13" s="429"/>
      <c r="G13" s="429"/>
      <c r="H13" s="429"/>
    </row>
    <row r="14" spans="1:8" ht="45" customHeight="1">
      <c r="A14" s="429" t="s">
        <v>12</v>
      </c>
      <c r="B14" s="429"/>
      <c r="C14" s="429"/>
      <c r="D14" s="429"/>
      <c r="E14" s="429"/>
      <c r="F14" s="429"/>
      <c r="G14" s="429"/>
      <c r="H14" s="429"/>
    </row>
    <row r="15" spans="1:8" ht="45" customHeight="1">
      <c r="A15" s="2">
        <v>2021</v>
      </c>
      <c r="B15" s="5" t="s">
        <v>13</v>
      </c>
      <c r="C15" s="6"/>
      <c r="D15" s="6"/>
      <c r="E15" s="6"/>
      <c r="F15" s="6"/>
      <c r="G15" s="6"/>
      <c r="H15" s="7"/>
    </row>
    <row r="17" spans="1:8" ht="18" customHeight="1">
      <c r="A17" s="8" t="s">
        <v>14</v>
      </c>
      <c r="B17" s="9"/>
      <c r="C17" s="9"/>
      <c r="D17" s="9"/>
      <c r="E17" s="9"/>
      <c r="F17" s="9"/>
      <c r="G17" s="9"/>
      <c r="H17" s="9"/>
    </row>
    <row r="18" spans="1:8" ht="28.5" customHeight="1">
      <c r="A18" s="430" t="s">
        <v>15</v>
      </c>
      <c r="B18" s="430"/>
      <c r="C18" s="430"/>
      <c r="D18" s="430"/>
      <c r="E18" s="430"/>
      <c r="F18" s="430"/>
      <c r="G18" s="430"/>
      <c r="H18" s="430"/>
    </row>
    <row r="19" spans="1:8" ht="39" customHeight="1">
      <c r="A19" s="428" t="s">
        <v>16</v>
      </c>
      <c r="B19" s="428"/>
      <c r="C19" s="428"/>
      <c r="D19" s="428"/>
      <c r="E19" s="428"/>
      <c r="F19" s="428"/>
      <c r="G19" s="428"/>
      <c r="H19" s="428"/>
    </row>
    <row r="20" spans="1:8" ht="34.5" customHeight="1">
      <c r="A20" s="428" t="s">
        <v>17</v>
      </c>
      <c r="B20" s="428"/>
      <c r="C20" s="428"/>
      <c r="D20" s="428"/>
      <c r="E20" s="428"/>
      <c r="F20" s="428"/>
      <c r="G20" s="428"/>
      <c r="H20" s="428"/>
    </row>
    <row r="21" spans="1:8" ht="23.25" customHeight="1">
      <c r="A21" s="428" t="s">
        <v>18</v>
      </c>
      <c r="B21" s="428"/>
      <c r="C21" s="428"/>
      <c r="D21" s="428"/>
      <c r="E21" s="428"/>
      <c r="F21" s="428"/>
      <c r="G21" s="428"/>
      <c r="H21" s="428"/>
    </row>
  </sheetData>
  <mergeCells count="17">
    <mergeCell ref="A1:H1"/>
    <mergeCell ref="A2:H2"/>
    <mergeCell ref="A4:H4"/>
    <mergeCell ref="A5:H5"/>
    <mergeCell ref="A6:H6"/>
    <mergeCell ref="A7:H7"/>
    <mergeCell ref="A8:H8"/>
    <mergeCell ref="A9:H9"/>
    <mergeCell ref="A10:H10"/>
    <mergeCell ref="A11:H11"/>
    <mergeCell ref="A20:H20"/>
    <mergeCell ref="A21:H21"/>
    <mergeCell ref="A12:H12"/>
    <mergeCell ref="A13:H13"/>
    <mergeCell ref="A14:H14"/>
    <mergeCell ref="A18:H18"/>
    <mergeCell ref="A19:H19"/>
  </mergeCells>
  <pageMargins left="0.55138888888888904" right="0.55138888888888904" top="0.78749999999999998" bottom="0.78749999999999998" header="0.51180555555555496" footer="0.51180555555555496"/>
  <pageSetup paperSize="9" firstPageNumber="0" orientation="portrait" horizontalDpi="300" verticalDpi="300"/>
  <headerFooter>
    <oddHeader>&amp;C&amp;F</oddHead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BN122"/>
  <sheetViews>
    <sheetView tabSelected="1" zoomScale="85" zoomScaleNormal="85" workbookViewId="0">
      <pane ySplit="1" topLeftCell="A37" activePane="bottomLeft" state="frozen"/>
      <selection activeCell="AU1" sqref="AU1"/>
      <selection pane="bottomLeft" activeCell="BH54" sqref="BH54"/>
    </sheetView>
  </sheetViews>
  <sheetFormatPr baseColWidth="10" defaultColWidth="10.85546875" defaultRowHeight="12.75"/>
  <cols>
    <col min="1" max="1" width="18.42578125" customWidth="1"/>
    <col min="2" max="2" width="30.42578125" customWidth="1"/>
    <col min="3" max="3" width="9.28515625" style="10" customWidth="1"/>
    <col min="4" max="4" width="17.42578125" customWidth="1"/>
    <col min="5" max="10" width="12" hidden="1" customWidth="1"/>
    <col min="11" max="11" width="12.7109375" style="11" hidden="1" customWidth="1"/>
    <col min="12" max="12" width="8.85546875" style="11" hidden="1" customWidth="1"/>
    <col min="13" max="13" width="14.28515625" hidden="1" customWidth="1"/>
    <col min="14" max="14" width="12" hidden="1" customWidth="1"/>
    <col min="15" max="15" width="11.85546875" hidden="1" customWidth="1"/>
    <col min="16" max="16" width="16.140625" hidden="1" customWidth="1"/>
    <col min="17" max="17" width="14.140625" customWidth="1"/>
    <col min="18" max="18" width="8.85546875" hidden="1" customWidth="1"/>
    <col min="19" max="19" width="13.28515625" hidden="1" customWidth="1"/>
    <col min="20" max="20" width="8.85546875" hidden="1" customWidth="1"/>
    <col min="21" max="21" width="13.28515625" hidden="1" customWidth="1"/>
    <col min="22" max="22" width="8.85546875" hidden="1" customWidth="1"/>
    <col min="23" max="23" width="11.28515625" hidden="1" customWidth="1"/>
    <col min="24" max="24" width="9" hidden="1" customWidth="1"/>
    <col min="25" max="25" width="10.7109375" hidden="1" customWidth="1"/>
    <col min="26" max="26" width="8.7109375" hidden="1" customWidth="1"/>
    <col min="27" max="27" width="10.7109375" hidden="1" customWidth="1"/>
    <col min="28" max="28" width="8.7109375" hidden="1" customWidth="1"/>
    <col min="29" max="29" width="10.7109375" hidden="1" customWidth="1"/>
    <col min="30" max="30" width="8.7109375" hidden="1" customWidth="1"/>
    <col min="31" max="31" width="10.7109375" hidden="1" customWidth="1"/>
    <col min="32" max="32" width="8.7109375" hidden="1" customWidth="1"/>
    <col min="33" max="33" width="10.7109375" hidden="1" customWidth="1"/>
    <col min="34" max="34" width="8.140625" hidden="1" customWidth="1"/>
    <col min="35" max="35" width="10.7109375" hidden="1" customWidth="1"/>
    <col min="36" max="36" width="8.140625" hidden="1" customWidth="1"/>
    <col min="37" max="37" width="12.85546875" hidden="1" customWidth="1"/>
    <col min="38" max="38" width="8.140625" hidden="1" customWidth="1"/>
    <col min="39" max="39" width="10.28515625" hidden="1" customWidth="1"/>
    <col min="40" max="40" width="9.42578125" hidden="1" customWidth="1"/>
    <col min="41" max="41" width="10.28515625" hidden="1" customWidth="1"/>
    <col min="42" max="42" width="7.42578125" hidden="1" customWidth="1"/>
    <col min="43" max="43" width="10.28515625" hidden="1" customWidth="1"/>
    <col min="44" max="44" width="7.42578125" hidden="1" customWidth="1"/>
    <col min="45" max="45" width="10.28515625" hidden="1" customWidth="1"/>
    <col min="46" max="46" width="7.42578125" hidden="1" customWidth="1"/>
    <col min="47" max="47" width="10.28515625" hidden="1" customWidth="1"/>
    <col min="48" max="48" width="7.42578125" hidden="1" customWidth="1"/>
    <col min="49" max="49" width="10.28515625" hidden="1" customWidth="1"/>
    <col min="50" max="50" width="7.85546875" hidden="1" customWidth="1"/>
    <col min="51" max="51" width="10.28515625" hidden="1" customWidth="1"/>
    <col min="52" max="52" width="7.42578125" hidden="1" customWidth="1"/>
    <col min="53" max="53" width="10.28515625" hidden="1" customWidth="1"/>
    <col min="54" max="54" width="9.140625" hidden="1" customWidth="1"/>
    <col min="55" max="55" width="10.28515625" hidden="1" customWidth="1"/>
    <col min="56" max="56" width="7.85546875" hidden="1" customWidth="1"/>
    <col min="57" max="57" width="10.28515625" hidden="1" customWidth="1"/>
    <col min="58" max="58" width="9.85546875" hidden="1" customWidth="1"/>
    <col min="59" max="59" width="10.28515625" hidden="1" customWidth="1"/>
    <col min="60" max="60" width="7.42578125" customWidth="1"/>
    <col min="61" max="61" width="10.28515625" customWidth="1"/>
    <col min="62" max="62" width="56.140625" style="12" customWidth="1"/>
    <col min="63" max="63" width="42" style="13" customWidth="1"/>
    <col min="1024" max="1024" width="9.140625" customWidth="1"/>
  </cols>
  <sheetData>
    <row r="1" spans="1:66" s="25" customFormat="1" ht="41.25" customHeight="1">
      <c r="A1" s="14" t="s">
        <v>19</v>
      </c>
      <c r="B1" s="15" t="s">
        <v>20</v>
      </c>
      <c r="C1" s="15" t="s">
        <v>21</v>
      </c>
      <c r="D1" s="16" t="s">
        <v>22</v>
      </c>
      <c r="E1" s="17" t="s">
        <v>23</v>
      </c>
      <c r="F1" s="18" t="s">
        <v>24</v>
      </c>
      <c r="G1" s="18" t="s">
        <v>25</v>
      </c>
      <c r="H1" s="18" t="s">
        <v>26</v>
      </c>
      <c r="I1" s="18" t="s">
        <v>27</v>
      </c>
      <c r="J1" s="18" t="s">
        <v>28</v>
      </c>
      <c r="K1" s="18" t="s">
        <v>29</v>
      </c>
      <c r="L1" s="19" t="s">
        <v>30</v>
      </c>
      <c r="M1" s="20" t="s">
        <v>31</v>
      </c>
      <c r="N1" s="20" t="s">
        <v>32</v>
      </c>
      <c r="O1" s="21" t="s">
        <v>33</v>
      </c>
      <c r="P1" s="21" t="s">
        <v>34</v>
      </c>
      <c r="Q1" s="21" t="s">
        <v>35</v>
      </c>
      <c r="R1" s="22"/>
      <c r="S1" s="23">
        <v>44562</v>
      </c>
      <c r="T1" s="22"/>
      <c r="U1" s="23">
        <v>44593</v>
      </c>
      <c r="V1" s="22"/>
      <c r="W1" s="23">
        <v>44621</v>
      </c>
      <c r="X1" s="22"/>
      <c r="Y1" s="23">
        <v>44652</v>
      </c>
      <c r="Z1" s="22"/>
      <c r="AA1" s="23">
        <v>44682</v>
      </c>
      <c r="AB1" s="22"/>
      <c r="AC1" s="23">
        <v>44713</v>
      </c>
      <c r="AD1" s="22"/>
      <c r="AE1" s="23">
        <v>44722</v>
      </c>
      <c r="AF1" s="22"/>
      <c r="AG1" s="23">
        <v>44732</v>
      </c>
      <c r="AH1" s="22"/>
      <c r="AI1" s="23">
        <v>44743</v>
      </c>
      <c r="AJ1" s="22"/>
      <c r="AK1" s="23">
        <v>44752</v>
      </c>
      <c r="AL1" s="22"/>
      <c r="AM1" s="23">
        <v>44762</v>
      </c>
      <c r="AN1" s="22"/>
      <c r="AO1" s="23">
        <v>44774</v>
      </c>
      <c r="AP1" s="22"/>
      <c r="AQ1" s="23">
        <v>44783</v>
      </c>
      <c r="AR1" s="22"/>
      <c r="AS1" s="23">
        <v>44793</v>
      </c>
      <c r="AT1" s="22"/>
      <c r="AU1" s="23">
        <v>44805</v>
      </c>
      <c r="AV1" s="22"/>
      <c r="AW1" s="23">
        <v>44814</v>
      </c>
      <c r="AX1" s="22"/>
      <c r="AY1" s="23">
        <v>44824</v>
      </c>
      <c r="AZ1" s="22"/>
      <c r="BA1" s="23">
        <v>44835</v>
      </c>
      <c r="BB1" s="22"/>
      <c r="BC1" s="23">
        <v>44844</v>
      </c>
      <c r="BD1" s="22"/>
      <c r="BE1" s="23">
        <v>44854</v>
      </c>
      <c r="BF1" s="22"/>
      <c r="BG1" s="23">
        <v>44866</v>
      </c>
      <c r="BH1" s="22"/>
      <c r="BI1" s="23">
        <v>44896</v>
      </c>
      <c r="BJ1" s="24" t="s">
        <v>36</v>
      </c>
      <c r="BK1" s="24" t="s">
        <v>37</v>
      </c>
    </row>
    <row r="2" spans="1:66">
      <c r="A2" s="26" t="s">
        <v>38</v>
      </c>
      <c r="B2" s="27" t="s">
        <v>39</v>
      </c>
      <c r="C2" s="28">
        <v>16</v>
      </c>
      <c r="D2" s="29" t="s">
        <v>40</v>
      </c>
      <c r="E2" s="30">
        <v>10.095000000000001</v>
      </c>
      <c r="F2" s="31">
        <v>10.095000000000001</v>
      </c>
      <c r="G2" s="31">
        <v>10.095000000000001</v>
      </c>
      <c r="H2" s="31">
        <v>10.095000000000001</v>
      </c>
      <c r="I2" s="31">
        <v>10.095000000000001</v>
      </c>
      <c r="J2" s="31">
        <v>10.095000000000001</v>
      </c>
      <c r="K2" s="31">
        <v>10.095000000000001</v>
      </c>
      <c r="L2" s="32">
        <v>10.095000000000001</v>
      </c>
      <c r="M2" s="33">
        <v>10.095000000000001</v>
      </c>
      <c r="N2" s="33">
        <v>10.095000000000001</v>
      </c>
      <c r="O2" s="34">
        <v>10.095000000000001</v>
      </c>
      <c r="P2" s="34">
        <v>10.095000000000001</v>
      </c>
      <c r="Q2" s="34">
        <v>10.095000000000001</v>
      </c>
      <c r="R2" s="35">
        <v>10.095000000000001</v>
      </c>
      <c r="S2" s="36">
        <f t="shared" ref="S2:S14" si="0">R2/$Q2</f>
        <v>1</v>
      </c>
      <c r="T2" s="35">
        <v>10.095000000000001</v>
      </c>
      <c r="U2" s="36">
        <f t="shared" ref="U2:U14" si="1">T2/$Q2</f>
        <v>1</v>
      </c>
      <c r="V2" s="35">
        <v>10.095000000000001</v>
      </c>
      <c r="W2" s="36">
        <f t="shared" ref="W2:W14" si="2">V2/$Q2</f>
        <v>1</v>
      </c>
      <c r="X2" s="35">
        <v>10.095000000000001</v>
      </c>
      <c r="Y2" s="36">
        <f t="shared" ref="Y2:Y14" si="3">X2/$Q2</f>
        <v>1</v>
      </c>
      <c r="Z2" s="35">
        <v>10.095000000000001</v>
      </c>
      <c r="AA2" s="36">
        <f t="shared" ref="AA2:AA14" si="4">Z2/$Q2</f>
        <v>1</v>
      </c>
      <c r="AB2" s="35">
        <v>10.041</v>
      </c>
      <c r="AC2" s="36">
        <f t="shared" ref="AC2:AC14" si="5">AB2/$Q2</f>
        <v>0.99465081723625559</v>
      </c>
      <c r="AD2" s="35">
        <v>9.9760000000000009</v>
      </c>
      <c r="AE2" s="36">
        <f t="shared" ref="AE2:AE14" si="6">AD2/$Q2</f>
        <v>0.98821198613174843</v>
      </c>
      <c r="AF2" s="35">
        <v>9.8000000000000007</v>
      </c>
      <c r="AG2" s="36">
        <f t="shared" ref="AG2:AG14" si="7">AF2/$Q2</f>
        <v>0.97077761267954432</v>
      </c>
      <c r="AH2" s="35">
        <v>8.5239999999999991</v>
      </c>
      <c r="AI2" s="36">
        <f t="shared" ref="AI2:AI14" si="8">AH2/$Q2</f>
        <v>0.84437840515106477</v>
      </c>
      <c r="AJ2" s="35">
        <v>7.8120000000000003</v>
      </c>
      <c r="AK2" s="36">
        <f t="shared" ref="AK2:AK14" si="9">AJ2/$Q2</f>
        <v>0.77384843982169393</v>
      </c>
      <c r="AL2" s="35">
        <v>6.19</v>
      </c>
      <c r="AM2" s="36">
        <f t="shared" ref="AM2:AM14" si="10">AL2/$Q2</f>
        <v>0.61317483902922243</v>
      </c>
      <c r="AN2" s="35">
        <v>3.7919999999999998</v>
      </c>
      <c r="AO2" s="36">
        <f t="shared" ref="AO2:AO14" si="11">AN2/$Q2</f>
        <v>0.37563150074294199</v>
      </c>
      <c r="AP2" s="35">
        <v>2.714</v>
      </c>
      <c r="AQ2" s="36">
        <f t="shared" ref="AQ2:AQ14" si="12">AP2/$Q2</f>
        <v>0.26884596334819216</v>
      </c>
      <c r="AR2" s="35">
        <v>1.1579999999999999</v>
      </c>
      <c r="AS2" s="36">
        <f t="shared" ref="AS2:AS14" si="13">AR2/$Q2</f>
        <v>0.11471025260029716</v>
      </c>
      <c r="AT2" s="35">
        <v>0.91</v>
      </c>
      <c r="AU2" s="36">
        <f t="shared" ref="AU2:AU14" si="14">AT2/$Q2</f>
        <v>9.0143635463100544E-2</v>
      </c>
      <c r="AV2" s="35">
        <v>0.85299999999999998</v>
      </c>
      <c r="AW2" s="36">
        <f t="shared" ref="AW2:AW14" si="15">AV2/$Q2</f>
        <v>8.4497275879148084E-2</v>
      </c>
      <c r="AX2" s="35">
        <v>0.76500000000000001</v>
      </c>
      <c r="AY2" s="36">
        <f t="shared" ref="AY2:AY14" si="16">AX2/$Q2</f>
        <v>7.5780089153046057E-2</v>
      </c>
      <c r="AZ2" s="35">
        <v>0.73899999999999999</v>
      </c>
      <c r="BA2" s="36">
        <f t="shared" ref="BA2:BA14" si="17">AZ2/$Q2</f>
        <v>7.3204556711243179E-2</v>
      </c>
      <c r="BB2" s="35">
        <v>0.72099999999999997</v>
      </c>
      <c r="BC2" s="36">
        <f t="shared" ref="BC2:BC14" si="18">BB2/$Q2</f>
        <v>7.1421495789995043E-2</v>
      </c>
      <c r="BD2" s="35">
        <v>0.69399999999999995</v>
      </c>
      <c r="BE2" s="36">
        <f t="shared" ref="BE2:BE14" si="19">BD2/$Q2</f>
        <v>6.8746904408122825E-2</v>
      </c>
      <c r="BF2" s="35">
        <v>0.64</v>
      </c>
      <c r="BG2" s="36">
        <f t="shared" ref="BG2:BG14" si="20">BF2/$Q2</f>
        <v>6.3397721644378402E-2</v>
      </c>
      <c r="BH2" s="35">
        <v>0.85299999999999998</v>
      </c>
      <c r="BI2" s="36">
        <f t="shared" ref="BI2:BI14" si="21">BH2/$Q2</f>
        <v>8.4497275879148084E-2</v>
      </c>
      <c r="BJ2" s="37" t="s">
        <v>41</v>
      </c>
    </row>
    <row r="3" spans="1:66">
      <c r="A3" s="38" t="s">
        <v>38</v>
      </c>
      <c r="B3" s="39" t="s">
        <v>42</v>
      </c>
      <c r="C3" s="40">
        <v>22</v>
      </c>
      <c r="D3" s="41" t="s">
        <v>43</v>
      </c>
      <c r="E3" s="42">
        <v>3.2</v>
      </c>
      <c r="F3" s="43">
        <v>3.2</v>
      </c>
      <c r="G3" s="43">
        <v>3.2</v>
      </c>
      <c r="H3" s="43">
        <v>3.2</v>
      </c>
      <c r="I3" s="43">
        <v>3.2</v>
      </c>
      <c r="J3" s="43">
        <v>3.2</v>
      </c>
      <c r="K3" s="43">
        <v>3.2</v>
      </c>
      <c r="L3" s="44">
        <v>3.2</v>
      </c>
      <c r="M3" s="45">
        <v>3.2</v>
      </c>
      <c r="N3" s="45">
        <v>3.2</v>
      </c>
      <c r="O3" s="46">
        <v>3.2</v>
      </c>
      <c r="P3" s="46">
        <v>3.2</v>
      </c>
      <c r="Q3" s="46">
        <v>3.2</v>
      </c>
      <c r="R3" s="47">
        <v>3.2</v>
      </c>
      <c r="S3" s="48">
        <f t="shared" si="0"/>
        <v>1</v>
      </c>
      <c r="T3" s="47">
        <v>3.2</v>
      </c>
      <c r="U3" s="48">
        <f t="shared" si="1"/>
        <v>1</v>
      </c>
      <c r="V3" s="47">
        <v>3.2</v>
      </c>
      <c r="W3" s="48">
        <f t="shared" si="2"/>
        <v>1</v>
      </c>
      <c r="X3" s="47">
        <v>3.2</v>
      </c>
      <c r="Y3" s="48">
        <f t="shared" si="3"/>
        <v>1</v>
      </c>
      <c r="Z3" s="47">
        <v>3.2</v>
      </c>
      <c r="AA3" s="48">
        <f t="shared" si="4"/>
        <v>1</v>
      </c>
      <c r="AB3" s="47">
        <v>3.0910000000000002</v>
      </c>
      <c r="AC3" s="48">
        <f t="shared" si="5"/>
        <v>0.9659375</v>
      </c>
      <c r="AD3" s="47">
        <v>3.07</v>
      </c>
      <c r="AE3" s="48">
        <f t="shared" si="6"/>
        <v>0.95937499999999987</v>
      </c>
      <c r="AF3" s="47">
        <v>3.024</v>
      </c>
      <c r="AG3" s="48">
        <f t="shared" si="7"/>
        <v>0.94499999999999995</v>
      </c>
      <c r="AH3" s="47">
        <v>3.05</v>
      </c>
      <c r="AI3" s="48">
        <f t="shared" si="8"/>
        <v>0.95312499999999989</v>
      </c>
      <c r="AJ3" s="47">
        <v>2.633</v>
      </c>
      <c r="AK3" s="48">
        <f t="shared" si="9"/>
        <v>0.82281249999999995</v>
      </c>
      <c r="AL3" s="47">
        <v>2.1509999999999998</v>
      </c>
      <c r="AM3" s="48">
        <f t="shared" si="10"/>
        <v>0.67218749999999994</v>
      </c>
      <c r="AN3" s="47">
        <v>1.329</v>
      </c>
      <c r="AO3" s="48">
        <f t="shared" si="11"/>
        <v>0.41531249999999997</v>
      </c>
      <c r="AP3" s="47">
        <v>0.90600000000000003</v>
      </c>
      <c r="AQ3" s="48">
        <f t="shared" si="12"/>
        <v>0.28312500000000002</v>
      </c>
      <c r="AR3" s="47">
        <v>0.41299999999999998</v>
      </c>
      <c r="AS3" s="48">
        <f t="shared" si="13"/>
        <v>0.1290625</v>
      </c>
      <c r="AT3" s="47">
        <v>0.38</v>
      </c>
      <c r="AU3" s="48">
        <f t="shared" si="14"/>
        <v>0.11874999999999999</v>
      </c>
      <c r="AV3" s="47">
        <v>0.33800000000000002</v>
      </c>
      <c r="AW3" s="48">
        <f t="shared" si="15"/>
        <v>0.105625</v>
      </c>
      <c r="AX3" s="47">
        <v>0.32600000000000001</v>
      </c>
      <c r="AY3" s="48">
        <f t="shared" si="16"/>
        <v>0.10187499999999999</v>
      </c>
      <c r="AZ3" s="47">
        <v>0.59399999999999997</v>
      </c>
      <c r="BA3" s="48">
        <f t="shared" si="17"/>
        <v>0.18562499999999998</v>
      </c>
      <c r="BB3" s="47">
        <v>0.58099999999999996</v>
      </c>
      <c r="BC3" s="48">
        <f t="shared" si="18"/>
        <v>0.18156249999999999</v>
      </c>
      <c r="BD3" s="47">
        <v>0.57199999999999995</v>
      </c>
      <c r="BE3" s="48">
        <f t="shared" si="19"/>
        <v>0.17874999999999996</v>
      </c>
      <c r="BF3" s="47">
        <v>0.51</v>
      </c>
      <c r="BG3" s="48">
        <f t="shared" si="20"/>
        <v>0.15937499999999999</v>
      </c>
      <c r="BH3" s="47">
        <v>2.9289999999999998</v>
      </c>
      <c r="BI3" s="48">
        <f t="shared" si="21"/>
        <v>0.91531249999999986</v>
      </c>
      <c r="BJ3" s="37" t="s">
        <v>41</v>
      </c>
    </row>
    <row r="4" spans="1:66">
      <c r="A4" s="38" t="s">
        <v>38</v>
      </c>
      <c r="B4" s="39" t="s">
        <v>44</v>
      </c>
      <c r="C4" s="40">
        <v>19</v>
      </c>
      <c r="D4" s="41" t="s">
        <v>45</v>
      </c>
      <c r="E4" s="42">
        <v>3.5</v>
      </c>
      <c r="F4" s="43">
        <v>3.5</v>
      </c>
      <c r="G4" s="43">
        <v>3.5</v>
      </c>
      <c r="H4" s="43">
        <v>3.5</v>
      </c>
      <c r="I4" s="43">
        <v>3.5</v>
      </c>
      <c r="J4" s="43">
        <v>3.5</v>
      </c>
      <c r="K4" s="43">
        <v>3.5</v>
      </c>
      <c r="L4" s="44">
        <v>3.5</v>
      </c>
      <c r="M4" s="45">
        <v>3.5</v>
      </c>
      <c r="N4" s="45">
        <v>3.5</v>
      </c>
      <c r="O4" s="46">
        <v>3.5</v>
      </c>
      <c r="P4" s="46">
        <v>3.5</v>
      </c>
      <c r="Q4" s="46">
        <v>3.5</v>
      </c>
      <c r="R4" s="47">
        <v>2.5459999999999998</v>
      </c>
      <c r="S4" s="48">
        <f t="shared" si="0"/>
        <v>0.72742857142857142</v>
      </c>
      <c r="T4" s="47">
        <v>3.2160000000000002</v>
      </c>
      <c r="U4" s="48">
        <f t="shared" si="1"/>
        <v>0.91885714285714293</v>
      </c>
      <c r="V4" s="47">
        <v>3.339</v>
      </c>
      <c r="W4" s="48">
        <f t="shared" si="2"/>
        <v>0.95399999999999996</v>
      </c>
      <c r="X4" s="47">
        <v>3.456</v>
      </c>
      <c r="Y4" s="48">
        <f t="shared" si="3"/>
        <v>0.98742857142857143</v>
      </c>
      <c r="Z4" s="47">
        <v>3.5</v>
      </c>
      <c r="AA4" s="48">
        <f t="shared" si="4"/>
        <v>1</v>
      </c>
      <c r="AB4" s="47">
        <v>3.4380000000000002</v>
      </c>
      <c r="AC4" s="48">
        <f t="shared" si="5"/>
        <v>0.98228571428571432</v>
      </c>
      <c r="AD4" s="47">
        <v>3.431</v>
      </c>
      <c r="AE4" s="48">
        <f t="shared" si="6"/>
        <v>0.98028571428571432</v>
      </c>
      <c r="AF4" s="47">
        <v>3.4009999999999998</v>
      </c>
      <c r="AG4" s="48">
        <f t="shared" si="7"/>
        <v>0.97171428571428564</v>
      </c>
      <c r="AH4" s="47">
        <v>3.1789999999999998</v>
      </c>
      <c r="AI4" s="48">
        <f t="shared" si="8"/>
        <v>0.90828571428571425</v>
      </c>
      <c r="AJ4" s="47">
        <v>2.9169999999999998</v>
      </c>
      <c r="AK4" s="48">
        <f t="shared" si="9"/>
        <v>0.83342857142857141</v>
      </c>
      <c r="AL4" s="47">
        <v>2.508</v>
      </c>
      <c r="AM4" s="48">
        <f t="shared" si="10"/>
        <v>0.71657142857142853</v>
      </c>
      <c r="AN4" s="47">
        <v>1.72</v>
      </c>
      <c r="AO4" s="48">
        <f t="shared" si="11"/>
        <v>0.49142857142857144</v>
      </c>
      <c r="AP4" s="47">
        <v>1.3380000000000001</v>
      </c>
      <c r="AQ4" s="48">
        <f t="shared" si="12"/>
        <v>0.38228571428571428</v>
      </c>
      <c r="AR4" s="47">
        <v>0.83599999999999997</v>
      </c>
      <c r="AS4" s="48">
        <f t="shared" si="13"/>
        <v>0.23885714285714285</v>
      </c>
      <c r="AT4" s="47">
        <v>0.73</v>
      </c>
      <c r="AU4" s="48">
        <f t="shared" si="14"/>
        <v>0.20857142857142857</v>
      </c>
      <c r="AV4" s="47">
        <v>0.625</v>
      </c>
      <c r="AW4" s="48">
        <f t="shared" si="15"/>
        <v>0.17857142857142858</v>
      </c>
      <c r="AX4" s="47">
        <v>0.44400000000000001</v>
      </c>
      <c r="AY4" s="48">
        <f t="shared" si="16"/>
        <v>0.12685714285714286</v>
      </c>
      <c r="AZ4" s="47">
        <v>0.41299999999999998</v>
      </c>
      <c r="BA4" s="48">
        <f t="shared" si="17"/>
        <v>0.11799999999999999</v>
      </c>
      <c r="BB4" s="47">
        <v>0.38900000000000001</v>
      </c>
      <c r="BC4" s="48">
        <f t="shared" si="18"/>
        <v>0.11114285714285714</v>
      </c>
      <c r="BD4" s="47">
        <v>0.36699999999999999</v>
      </c>
      <c r="BE4" s="48">
        <f t="shared" si="19"/>
        <v>0.10485714285714286</v>
      </c>
      <c r="BF4" s="47">
        <v>0.32</v>
      </c>
      <c r="BG4" s="48">
        <f t="shared" si="20"/>
        <v>9.1428571428571428E-2</v>
      </c>
      <c r="BH4" s="47">
        <v>0.78200000000000003</v>
      </c>
      <c r="BI4" s="48">
        <f t="shared" si="21"/>
        <v>0.22342857142857145</v>
      </c>
      <c r="BJ4" s="37" t="s">
        <v>41</v>
      </c>
      <c r="BL4" s="49" t="s">
        <v>46</v>
      </c>
      <c r="BM4" s="50"/>
    </row>
    <row r="5" spans="1:66">
      <c r="A5" s="38" t="s">
        <v>38</v>
      </c>
      <c r="B5" s="39" t="s">
        <v>47</v>
      </c>
      <c r="C5" s="40">
        <v>44</v>
      </c>
      <c r="D5" s="41" t="s">
        <v>47</v>
      </c>
      <c r="E5" s="42">
        <v>1.85</v>
      </c>
      <c r="F5" s="43">
        <v>1.85</v>
      </c>
      <c r="G5" s="43">
        <v>1.85</v>
      </c>
      <c r="H5" s="43">
        <v>1.85</v>
      </c>
      <c r="I5" s="43">
        <v>1.85</v>
      </c>
      <c r="J5" s="43">
        <v>1.85</v>
      </c>
      <c r="K5" s="43">
        <v>1.85</v>
      </c>
      <c r="L5" s="44">
        <v>1.85</v>
      </c>
      <c r="M5" s="45">
        <v>1.85</v>
      </c>
      <c r="N5" s="45">
        <v>1.85</v>
      </c>
      <c r="O5" s="46">
        <v>1.85</v>
      </c>
      <c r="P5" s="46">
        <v>1.85</v>
      </c>
      <c r="Q5" s="46">
        <v>1.85</v>
      </c>
      <c r="R5" s="47">
        <v>1.85</v>
      </c>
      <c r="S5" s="48">
        <f t="shared" si="0"/>
        <v>1</v>
      </c>
      <c r="T5" s="47">
        <v>1.85</v>
      </c>
      <c r="U5" s="48">
        <f t="shared" si="1"/>
        <v>1</v>
      </c>
      <c r="V5" s="47">
        <v>1.85</v>
      </c>
      <c r="W5" s="48">
        <f t="shared" si="2"/>
        <v>1</v>
      </c>
      <c r="X5" s="47">
        <v>1.85</v>
      </c>
      <c r="Y5" s="48">
        <f t="shared" si="3"/>
        <v>1</v>
      </c>
      <c r="Z5" s="47">
        <v>1.85</v>
      </c>
      <c r="AA5" s="48">
        <f t="shared" si="4"/>
        <v>1</v>
      </c>
      <c r="AB5" s="47">
        <v>1.85</v>
      </c>
      <c r="AC5" s="48">
        <f t="shared" si="5"/>
        <v>1</v>
      </c>
      <c r="AD5" s="47">
        <v>1.849</v>
      </c>
      <c r="AE5" s="48">
        <f t="shared" si="6"/>
        <v>0.99945945945945935</v>
      </c>
      <c r="AF5" s="47">
        <v>1.8049999999999999</v>
      </c>
      <c r="AG5" s="48">
        <f t="shared" si="7"/>
        <v>0.97567567567567559</v>
      </c>
      <c r="AH5" s="47">
        <v>1.5840000000000001</v>
      </c>
      <c r="AI5" s="48">
        <f t="shared" si="8"/>
        <v>0.85621621621621624</v>
      </c>
      <c r="AJ5" s="47">
        <v>1.246</v>
      </c>
      <c r="AK5" s="48">
        <f t="shared" si="9"/>
        <v>0.67351351351351352</v>
      </c>
      <c r="AL5" s="47">
        <v>0.73499999999999999</v>
      </c>
      <c r="AM5" s="48">
        <f t="shared" si="10"/>
        <v>0.39729729729729729</v>
      </c>
      <c r="AN5" s="47">
        <v>0.54400000000000004</v>
      </c>
      <c r="AO5" s="48">
        <f t="shared" si="11"/>
        <v>0.29405405405405405</v>
      </c>
      <c r="AP5" s="47">
        <v>0.55500000000000005</v>
      </c>
      <c r="AQ5" s="48">
        <f t="shared" si="12"/>
        <v>0.3</v>
      </c>
      <c r="AR5" s="47">
        <v>0.29799999999999999</v>
      </c>
      <c r="AS5" s="48">
        <f t="shared" si="13"/>
        <v>0.16108108108108107</v>
      </c>
      <c r="AT5" s="47">
        <v>0.33</v>
      </c>
      <c r="AU5" s="48">
        <f t="shared" si="14"/>
        <v>0.17837837837837839</v>
      </c>
      <c r="AV5" s="47">
        <v>0.36199999999999999</v>
      </c>
      <c r="AW5" s="48">
        <f t="shared" si="15"/>
        <v>0.19567567567567565</v>
      </c>
      <c r="AX5" s="47">
        <v>0.33900000000000002</v>
      </c>
      <c r="AY5" s="48">
        <f t="shared" si="16"/>
        <v>0.18324324324324326</v>
      </c>
      <c r="AZ5" s="47">
        <v>0.34300000000000003</v>
      </c>
      <c r="BA5" s="48">
        <f t="shared" si="17"/>
        <v>0.1854054054054054</v>
      </c>
      <c r="BB5" s="47">
        <v>0.33600000000000002</v>
      </c>
      <c r="BC5" s="48">
        <f t="shared" si="18"/>
        <v>0.18162162162162163</v>
      </c>
      <c r="BD5" s="47">
        <v>0.32800000000000001</v>
      </c>
      <c r="BE5" s="48">
        <f t="shared" si="19"/>
        <v>0.17729729729729729</v>
      </c>
      <c r="BF5" s="47">
        <v>0.31</v>
      </c>
      <c r="BG5" s="48">
        <f t="shared" si="20"/>
        <v>0.16756756756756755</v>
      </c>
      <c r="BH5" s="47">
        <v>0.432</v>
      </c>
      <c r="BI5" s="48">
        <f t="shared" si="21"/>
        <v>0.23351351351351349</v>
      </c>
      <c r="BJ5" s="37" t="s">
        <v>41</v>
      </c>
      <c r="BL5" t="s">
        <v>48</v>
      </c>
    </row>
    <row r="6" spans="1:66">
      <c r="A6" s="38" t="s">
        <v>38</v>
      </c>
      <c r="B6" s="39" t="s">
        <v>49</v>
      </c>
      <c r="C6" s="40">
        <v>49</v>
      </c>
      <c r="D6" s="41" t="s">
        <v>49</v>
      </c>
      <c r="E6" s="42">
        <v>20</v>
      </c>
      <c r="F6" s="43">
        <v>20</v>
      </c>
      <c r="G6" s="43">
        <v>20</v>
      </c>
      <c r="H6" s="43">
        <v>20</v>
      </c>
      <c r="I6" s="43">
        <v>20</v>
      </c>
      <c r="J6" s="43">
        <v>20</v>
      </c>
      <c r="K6" s="43">
        <v>20</v>
      </c>
      <c r="L6" s="44">
        <v>20</v>
      </c>
      <c r="M6" s="45">
        <v>20</v>
      </c>
      <c r="N6" s="45">
        <v>20</v>
      </c>
      <c r="O6" s="46">
        <v>20</v>
      </c>
      <c r="P6" s="46">
        <v>20</v>
      </c>
      <c r="Q6" s="46">
        <v>20</v>
      </c>
      <c r="R6" s="47">
        <v>17.481999999999999</v>
      </c>
      <c r="S6" s="48">
        <f t="shared" si="0"/>
        <v>0.87409999999999999</v>
      </c>
      <c r="T6" s="47">
        <v>20</v>
      </c>
      <c r="U6" s="48">
        <f t="shared" si="1"/>
        <v>1</v>
      </c>
      <c r="V6" s="47">
        <v>20</v>
      </c>
      <c r="W6" s="48">
        <f t="shared" si="2"/>
        <v>1</v>
      </c>
      <c r="X6" s="47">
        <v>20</v>
      </c>
      <c r="Y6" s="48">
        <f t="shared" si="3"/>
        <v>1</v>
      </c>
      <c r="Z6" s="47">
        <v>20</v>
      </c>
      <c r="AA6" s="48">
        <f t="shared" si="4"/>
        <v>1</v>
      </c>
      <c r="AB6" s="47">
        <v>19.814</v>
      </c>
      <c r="AC6" s="48">
        <f t="shared" si="5"/>
        <v>0.99070000000000003</v>
      </c>
      <c r="AD6" s="47">
        <v>19.576000000000001</v>
      </c>
      <c r="AE6" s="48">
        <f t="shared" si="6"/>
        <v>0.9788</v>
      </c>
      <c r="AF6" s="47">
        <v>18.991</v>
      </c>
      <c r="AG6" s="48">
        <f t="shared" si="7"/>
        <v>0.94955000000000001</v>
      </c>
      <c r="AH6" s="47">
        <v>17.006</v>
      </c>
      <c r="AI6" s="48">
        <f t="shared" si="8"/>
        <v>0.85030000000000006</v>
      </c>
      <c r="AJ6" s="47">
        <v>15.202999999999999</v>
      </c>
      <c r="AK6" s="48">
        <f t="shared" si="9"/>
        <v>0.76014999999999999</v>
      </c>
      <c r="AL6" s="47">
        <v>12.992000000000001</v>
      </c>
      <c r="AM6" s="48">
        <f t="shared" si="10"/>
        <v>0.64960000000000007</v>
      </c>
      <c r="AN6" s="47">
        <v>8.766</v>
      </c>
      <c r="AO6" s="48">
        <f t="shared" si="11"/>
        <v>0.43830000000000002</v>
      </c>
      <c r="AP6" s="47">
        <v>6.6580000000000004</v>
      </c>
      <c r="AQ6" s="48">
        <f t="shared" si="12"/>
        <v>0.33290000000000003</v>
      </c>
      <c r="AR6" s="47">
        <v>3.9079999999999999</v>
      </c>
      <c r="AS6" s="48">
        <f t="shared" si="13"/>
        <v>0.19539999999999999</v>
      </c>
      <c r="AT6" s="47">
        <v>3.04</v>
      </c>
      <c r="AU6" s="48">
        <f t="shared" si="14"/>
        <v>0.152</v>
      </c>
      <c r="AV6" s="47">
        <v>2.3109999999999999</v>
      </c>
      <c r="AW6" s="48">
        <f t="shared" si="15"/>
        <v>0.11555</v>
      </c>
      <c r="AX6" s="47">
        <v>1.339</v>
      </c>
      <c r="AY6" s="48">
        <f t="shared" si="16"/>
        <v>6.6949999999999996E-2</v>
      </c>
      <c r="AZ6" s="47">
        <v>0.95799999999999996</v>
      </c>
      <c r="BA6" s="48">
        <f t="shared" si="17"/>
        <v>4.7899999999999998E-2</v>
      </c>
      <c r="BB6" s="47">
        <v>0.90800000000000003</v>
      </c>
      <c r="BC6" s="48">
        <f t="shared" si="18"/>
        <v>4.5400000000000003E-2</v>
      </c>
      <c r="BD6" s="47">
        <v>0.85599999999999998</v>
      </c>
      <c r="BE6" s="48">
        <f t="shared" si="19"/>
        <v>4.2799999999999998E-2</v>
      </c>
      <c r="BF6" s="47">
        <v>0.78</v>
      </c>
      <c r="BG6" s="48">
        <f t="shared" si="20"/>
        <v>3.9E-2</v>
      </c>
      <c r="BH6" s="47">
        <v>2.3069999999999999</v>
      </c>
      <c r="BI6" s="48">
        <f t="shared" si="21"/>
        <v>0.11534999999999999</v>
      </c>
      <c r="BJ6" s="37" t="s">
        <v>41</v>
      </c>
      <c r="BL6" t="s">
        <v>50</v>
      </c>
    </row>
    <row r="7" spans="1:66">
      <c r="A7" s="38" t="s">
        <v>38</v>
      </c>
      <c r="B7" s="39" t="s">
        <v>51</v>
      </c>
      <c r="C7" s="40">
        <v>48</v>
      </c>
      <c r="D7" s="41" t="s">
        <v>51</v>
      </c>
      <c r="E7" s="42">
        <v>3.2</v>
      </c>
      <c r="F7" s="43">
        <v>3.2</v>
      </c>
      <c r="G7" s="43">
        <v>3.15</v>
      </c>
      <c r="H7" s="43">
        <v>3.15</v>
      </c>
      <c r="I7" s="43">
        <v>3.15</v>
      </c>
      <c r="J7" s="43">
        <v>3.15</v>
      </c>
      <c r="K7" s="43">
        <v>3.15</v>
      </c>
      <c r="L7" s="44">
        <v>3.15</v>
      </c>
      <c r="M7" s="45">
        <v>3.15</v>
      </c>
      <c r="N7" s="45">
        <v>3.15</v>
      </c>
      <c r="O7" s="46">
        <v>3.15</v>
      </c>
      <c r="P7" s="46">
        <v>3.15</v>
      </c>
      <c r="Q7" s="46">
        <v>3.15</v>
      </c>
      <c r="R7" s="47">
        <v>3.15</v>
      </c>
      <c r="S7" s="48">
        <f t="shared" si="0"/>
        <v>1</v>
      </c>
      <c r="T7" s="47">
        <v>3.15</v>
      </c>
      <c r="U7" s="48">
        <f t="shared" si="1"/>
        <v>1</v>
      </c>
      <c r="V7" s="47">
        <v>3.15</v>
      </c>
      <c r="W7" s="48">
        <f t="shared" si="2"/>
        <v>1</v>
      </c>
      <c r="X7" s="47">
        <v>3.15</v>
      </c>
      <c r="Y7" s="48">
        <f t="shared" si="3"/>
        <v>1</v>
      </c>
      <c r="Z7" s="47">
        <v>3.15</v>
      </c>
      <c r="AA7" s="48">
        <f t="shared" si="4"/>
        <v>1</v>
      </c>
      <c r="AB7" s="47">
        <v>3.0830000000000002</v>
      </c>
      <c r="AC7" s="48">
        <f t="shared" si="5"/>
        <v>0.97873015873015878</v>
      </c>
      <c r="AD7" s="47">
        <v>3.03</v>
      </c>
      <c r="AE7" s="48">
        <f t="shared" si="6"/>
        <v>0.96190476190476182</v>
      </c>
      <c r="AF7" s="47">
        <v>2.952</v>
      </c>
      <c r="AG7" s="48">
        <f t="shared" si="7"/>
        <v>0.93714285714285717</v>
      </c>
      <c r="AH7" s="47">
        <v>2.7709999999999999</v>
      </c>
      <c r="AI7" s="48">
        <f t="shared" si="8"/>
        <v>0.87968253968253973</v>
      </c>
      <c r="AJ7" s="47">
        <v>2.5760000000000001</v>
      </c>
      <c r="AK7" s="48">
        <f t="shared" si="9"/>
        <v>0.81777777777777783</v>
      </c>
      <c r="AL7" s="47">
        <v>2.109</v>
      </c>
      <c r="AM7" s="48">
        <f t="shared" si="10"/>
        <v>0.66952380952380952</v>
      </c>
      <c r="AN7" s="47">
        <v>1.369</v>
      </c>
      <c r="AO7" s="48">
        <f t="shared" si="11"/>
        <v>0.4346031746031746</v>
      </c>
      <c r="AP7" s="47">
        <v>0.97399999999999998</v>
      </c>
      <c r="AQ7" s="48">
        <f t="shared" si="12"/>
        <v>0.30920634920634921</v>
      </c>
      <c r="AR7" s="47">
        <v>0.61199999999999999</v>
      </c>
      <c r="AS7" s="48">
        <f t="shared" si="13"/>
        <v>0.19428571428571428</v>
      </c>
      <c r="AT7" s="47">
        <v>0.51</v>
      </c>
      <c r="AU7" s="48">
        <f t="shared" si="14"/>
        <v>0.16190476190476191</v>
      </c>
      <c r="AV7" s="47">
        <v>0.44800000000000001</v>
      </c>
      <c r="AW7" s="48">
        <f t="shared" si="15"/>
        <v>0.14222222222222222</v>
      </c>
      <c r="AX7" s="47">
        <v>0.33700000000000002</v>
      </c>
      <c r="AY7" s="48">
        <f t="shared" si="16"/>
        <v>0.106984126984127</v>
      </c>
      <c r="AZ7" s="47">
        <v>0.28599999999999998</v>
      </c>
      <c r="BA7" s="48">
        <f t="shared" si="17"/>
        <v>9.0793650793650788E-2</v>
      </c>
      <c r="BB7" s="47">
        <v>0.26500000000000001</v>
      </c>
      <c r="BC7" s="48">
        <f t="shared" si="18"/>
        <v>8.4126984126984133E-2</v>
      </c>
      <c r="BD7" s="47">
        <v>0.24399999999999999</v>
      </c>
      <c r="BE7" s="48">
        <f t="shared" si="19"/>
        <v>7.7460317460317465E-2</v>
      </c>
      <c r="BF7" s="47">
        <v>0.19</v>
      </c>
      <c r="BG7" s="48">
        <f t="shared" si="20"/>
        <v>6.0317460317460318E-2</v>
      </c>
      <c r="BH7" s="47">
        <v>0.78</v>
      </c>
      <c r="BI7" s="48">
        <f t="shared" si="21"/>
        <v>0.24761904761904763</v>
      </c>
      <c r="BJ7" s="37" t="s">
        <v>41</v>
      </c>
      <c r="BL7" t="s">
        <v>52</v>
      </c>
    </row>
    <row r="8" spans="1:66">
      <c r="A8" s="38" t="s">
        <v>38</v>
      </c>
      <c r="B8" s="39" t="s">
        <v>53</v>
      </c>
      <c r="C8" s="40">
        <v>18</v>
      </c>
      <c r="D8" s="41" t="s">
        <v>54</v>
      </c>
      <c r="E8" s="42">
        <v>2.5009999999999999</v>
      </c>
      <c r="F8" s="43">
        <v>2.5009999999999999</v>
      </c>
      <c r="G8" s="43">
        <v>2.5</v>
      </c>
      <c r="H8" s="43">
        <v>2.5</v>
      </c>
      <c r="I8" s="43">
        <v>2.5</v>
      </c>
      <c r="J8" s="43">
        <v>2.5</v>
      </c>
      <c r="K8" s="43">
        <v>2.5</v>
      </c>
      <c r="L8" s="44">
        <v>2.5</v>
      </c>
      <c r="M8" s="45">
        <v>2.5</v>
      </c>
      <c r="N8" s="45">
        <v>2.5</v>
      </c>
      <c r="O8" s="46">
        <v>2.5</v>
      </c>
      <c r="P8" s="46">
        <v>2.5</v>
      </c>
      <c r="Q8" s="46">
        <v>2.5</v>
      </c>
      <c r="R8" s="47">
        <v>2.5</v>
      </c>
      <c r="S8" s="48">
        <f t="shared" si="0"/>
        <v>1</v>
      </c>
      <c r="T8" s="47">
        <v>2.5</v>
      </c>
      <c r="U8" s="48">
        <f t="shared" si="1"/>
        <v>1</v>
      </c>
      <c r="V8" s="47">
        <v>2.5</v>
      </c>
      <c r="W8" s="48">
        <f t="shared" si="2"/>
        <v>1</v>
      </c>
      <c r="X8" s="47">
        <v>2.5</v>
      </c>
      <c r="Y8" s="48">
        <f t="shared" si="3"/>
        <v>1</v>
      </c>
      <c r="Z8" s="47">
        <v>2.5</v>
      </c>
      <c r="AA8" s="48">
        <f t="shared" si="4"/>
        <v>1</v>
      </c>
      <c r="AB8" s="47">
        <v>2.42</v>
      </c>
      <c r="AC8" s="48">
        <f t="shared" si="5"/>
        <v>0.96799999999999997</v>
      </c>
      <c r="AD8" s="47">
        <v>2.383</v>
      </c>
      <c r="AE8" s="48">
        <f t="shared" si="6"/>
        <v>0.95320000000000005</v>
      </c>
      <c r="AF8" s="47">
        <v>2.3620000000000001</v>
      </c>
      <c r="AG8" s="48">
        <f t="shared" si="7"/>
        <v>0.94480000000000008</v>
      </c>
      <c r="AH8" s="47">
        <v>2.21</v>
      </c>
      <c r="AI8" s="48">
        <f t="shared" si="8"/>
        <v>0.88400000000000001</v>
      </c>
      <c r="AJ8" s="47">
        <v>1.9510000000000001</v>
      </c>
      <c r="AK8" s="48">
        <f t="shared" si="9"/>
        <v>0.78039999999999998</v>
      </c>
      <c r="AL8" s="47">
        <v>1.641</v>
      </c>
      <c r="AM8" s="48">
        <f t="shared" si="10"/>
        <v>0.65639999999999998</v>
      </c>
      <c r="AN8" s="47">
        <v>1.022</v>
      </c>
      <c r="AO8" s="48">
        <f t="shared" si="11"/>
        <v>0.4088</v>
      </c>
      <c r="AP8" s="47">
        <v>0.77800000000000002</v>
      </c>
      <c r="AQ8" s="48">
        <f t="shared" si="12"/>
        <v>0.31120000000000003</v>
      </c>
      <c r="AR8" s="47">
        <v>0.55100000000000005</v>
      </c>
      <c r="AS8" s="48">
        <f t="shared" si="13"/>
        <v>0.22040000000000001</v>
      </c>
      <c r="AT8" s="47">
        <v>0.52</v>
      </c>
      <c r="AU8" s="48">
        <f t="shared" si="14"/>
        <v>0.20800000000000002</v>
      </c>
      <c r="AV8" s="47">
        <v>0.48799999999999999</v>
      </c>
      <c r="AW8" s="48">
        <f t="shared" si="15"/>
        <v>0.19519999999999998</v>
      </c>
      <c r="AX8" s="47">
        <v>0.41199999999999998</v>
      </c>
      <c r="AY8" s="48">
        <f t="shared" si="16"/>
        <v>0.1648</v>
      </c>
      <c r="AZ8" s="47">
        <v>0.41199999999999998</v>
      </c>
      <c r="BA8" s="48">
        <f t="shared" si="17"/>
        <v>0.1648</v>
      </c>
      <c r="BB8" s="47">
        <v>0.40500000000000003</v>
      </c>
      <c r="BC8" s="48">
        <f t="shared" si="18"/>
        <v>0.16200000000000001</v>
      </c>
      <c r="BD8" s="47">
        <v>0.40100000000000002</v>
      </c>
      <c r="BE8" s="48">
        <f t="shared" si="19"/>
        <v>0.16040000000000001</v>
      </c>
      <c r="BF8" s="47">
        <v>0.39</v>
      </c>
      <c r="BG8" s="48">
        <f t="shared" si="20"/>
        <v>0.156</v>
      </c>
      <c r="BH8" s="47">
        <v>0.53900000000000003</v>
      </c>
      <c r="BI8" s="48">
        <f t="shared" si="21"/>
        <v>0.21560000000000001</v>
      </c>
      <c r="BJ8" s="37" t="s">
        <v>41</v>
      </c>
    </row>
    <row r="9" spans="1:66">
      <c r="A9" s="38" t="s">
        <v>38</v>
      </c>
      <c r="B9" s="39" t="s">
        <v>55</v>
      </c>
      <c r="C9" s="40">
        <v>39</v>
      </c>
      <c r="D9" s="41" t="s">
        <v>38</v>
      </c>
      <c r="E9" s="42">
        <v>11.7</v>
      </c>
      <c r="F9" s="43">
        <v>11.7</v>
      </c>
      <c r="G9" s="43">
        <v>11.7</v>
      </c>
      <c r="H9" s="43">
        <v>11.7</v>
      </c>
      <c r="I9" s="43">
        <v>11.7</v>
      </c>
      <c r="J9" s="43">
        <v>11.7</v>
      </c>
      <c r="K9" s="43">
        <v>11.7</v>
      </c>
      <c r="L9" s="44">
        <v>11.7</v>
      </c>
      <c r="M9" s="45">
        <v>11.7</v>
      </c>
      <c r="N9" s="45">
        <v>11.7</v>
      </c>
      <c r="O9" s="46">
        <v>11.7</v>
      </c>
      <c r="P9" s="46">
        <v>11.7</v>
      </c>
      <c r="Q9" s="46">
        <v>11.7</v>
      </c>
      <c r="R9" s="47">
        <v>7.9530000000000003</v>
      </c>
      <c r="S9" s="48">
        <f t="shared" si="0"/>
        <v>0.67974358974358984</v>
      </c>
      <c r="T9" s="47">
        <v>8.1389999999999993</v>
      </c>
      <c r="U9" s="48">
        <f t="shared" si="1"/>
        <v>0.69564102564102559</v>
      </c>
      <c r="V9" s="47">
        <v>8.1419999999999995</v>
      </c>
      <c r="W9" s="48">
        <f t="shared" si="2"/>
        <v>0.69589743589743591</v>
      </c>
      <c r="X9" s="47">
        <v>8.1359999999999992</v>
      </c>
      <c r="Y9" s="48">
        <f t="shared" si="3"/>
        <v>0.69538461538461538</v>
      </c>
      <c r="Z9" s="47">
        <v>8.4169999999999998</v>
      </c>
      <c r="AA9" s="48">
        <f t="shared" si="4"/>
        <v>0.71940170940170944</v>
      </c>
      <c r="AB9" s="47">
        <v>9.8490000000000002</v>
      </c>
      <c r="AC9" s="48">
        <f t="shared" si="5"/>
        <v>0.84179487179487189</v>
      </c>
      <c r="AD9" s="47">
        <v>10.249000000000001</v>
      </c>
      <c r="AE9" s="48">
        <f t="shared" si="6"/>
        <v>0.87598290598290607</v>
      </c>
      <c r="AF9" s="47">
        <v>10.579000000000001</v>
      </c>
      <c r="AG9" s="48">
        <f t="shared" si="7"/>
        <v>0.90418803418803428</v>
      </c>
      <c r="AH9" s="47">
        <v>11.035</v>
      </c>
      <c r="AI9" s="48">
        <f t="shared" si="8"/>
        <v>0.94316239316239325</v>
      </c>
      <c r="AJ9" s="47">
        <v>10.987</v>
      </c>
      <c r="AK9" s="48">
        <f t="shared" si="9"/>
        <v>0.9390598290598291</v>
      </c>
      <c r="AL9" s="47">
        <v>10.207000000000001</v>
      </c>
      <c r="AM9" s="48">
        <f t="shared" si="10"/>
        <v>0.87239316239316256</v>
      </c>
      <c r="AN9" s="47">
        <v>8.6790000000000003</v>
      </c>
      <c r="AO9" s="48">
        <f t="shared" si="11"/>
        <v>0.74179487179487191</v>
      </c>
      <c r="AP9" s="47">
        <v>7.9059999999999997</v>
      </c>
      <c r="AQ9" s="48">
        <f t="shared" si="12"/>
        <v>0.67572649572649579</v>
      </c>
      <c r="AR9" s="47">
        <v>6.7619999999999996</v>
      </c>
      <c r="AS9" s="48">
        <f t="shared" si="13"/>
        <v>0.57794871794871794</v>
      </c>
      <c r="AT9" s="47">
        <v>6.59</v>
      </c>
      <c r="AU9" s="48">
        <f t="shared" si="14"/>
        <v>0.56324786324786325</v>
      </c>
      <c r="AV9" s="47">
        <v>6.32</v>
      </c>
      <c r="AW9" s="48">
        <f t="shared" si="15"/>
        <v>0.54017094017094025</v>
      </c>
      <c r="AX9" s="47">
        <v>6.0060000000000002</v>
      </c>
      <c r="AY9" s="48">
        <f t="shared" si="16"/>
        <v>0.51333333333333342</v>
      </c>
      <c r="AZ9" s="47">
        <v>6.0190000000000001</v>
      </c>
      <c r="BA9" s="48">
        <f t="shared" si="17"/>
        <v>0.51444444444444448</v>
      </c>
      <c r="BB9" s="47">
        <v>6.0090000000000003</v>
      </c>
      <c r="BC9" s="48">
        <f t="shared" si="18"/>
        <v>0.51358974358974363</v>
      </c>
      <c r="BD9" s="47">
        <v>6.0060000000000002</v>
      </c>
      <c r="BE9" s="48">
        <f t="shared" si="19"/>
        <v>0.51333333333333342</v>
      </c>
      <c r="BF9" s="47">
        <v>5.97</v>
      </c>
      <c r="BG9" s="48">
        <f t="shared" si="20"/>
        <v>0.51025641025641022</v>
      </c>
      <c r="BH9" s="47">
        <v>6.0549999999999997</v>
      </c>
      <c r="BI9" s="48">
        <f t="shared" si="21"/>
        <v>0.51752136752136757</v>
      </c>
      <c r="BJ9" s="37" t="s">
        <v>41</v>
      </c>
    </row>
    <row r="10" spans="1:66">
      <c r="A10" s="38" t="s">
        <v>38</v>
      </c>
      <c r="B10" s="39" t="s">
        <v>56</v>
      </c>
      <c r="C10" s="40">
        <v>17</v>
      </c>
      <c r="D10" s="41" t="s">
        <v>56</v>
      </c>
      <c r="E10" s="42">
        <v>5.21</v>
      </c>
      <c r="F10" s="43">
        <v>5.21</v>
      </c>
      <c r="G10" s="43">
        <v>5.2</v>
      </c>
      <c r="H10" s="43">
        <v>5.2</v>
      </c>
      <c r="I10" s="43">
        <v>5.2</v>
      </c>
      <c r="J10" s="43">
        <v>5.2</v>
      </c>
      <c r="K10" s="43">
        <v>5.2</v>
      </c>
      <c r="L10" s="44">
        <v>5.2</v>
      </c>
      <c r="M10" s="45">
        <v>5.2</v>
      </c>
      <c r="N10" s="45">
        <v>5.2</v>
      </c>
      <c r="O10" s="46">
        <v>5.2</v>
      </c>
      <c r="P10" s="46">
        <v>5.2</v>
      </c>
      <c r="Q10" s="46">
        <v>5.2</v>
      </c>
      <c r="R10" s="47">
        <v>2.7690000000000001</v>
      </c>
      <c r="S10" s="48">
        <f t="shared" si="0"/>
        <v>0.53249999999999997</v>
      </c>
      <c r="T10" s="47">
        <v>3.4489999999999998</v>
      </c>
      <c r="U10" s="48">
        <f t="shared" si="1"/>
        <v>0.66326923076923072</v>
      </c>
      <c r="V10" s="47">
        <v>3.81</v>
      </c>
      <c r="W10" s="48">
        <f t="shared" si="2"/>
        <v>0.73269230769230764</v>
      </c>
      <c r="X10" s="47">
        <v>4.3220000000000001</v>
      </c>
      <c r="Y10" s="48">
        <f t="shared" si="3"/>
        <v>0.83115384615384613</v>
      </c>
      <c r="Z10" s="47">
        <v>5.0449999999999999</v>
      </c>
      <c r="AA10" s="48">
        <f t="shared" si="4"/>
        <v>0.97019230769230769</v>
      </c>
      <c r="AB10" s="47">
        <v>5.0069999999999997</v>
      </c>
      <c r="AC10" s="48">
        <f t="shared" si="5"/>
        <v>0.96288461538461534</v>
      </c>
      <c r="AD10" s="47">
        <v>4.9059999999999997</v>
      </c>
      <c r="AE10" s="48">
        <f t="shared" si="6"/>
        <v>0.94346153846153835</v>
      </c>
      <c r="AF10" s="47">
        <v>4.7750000000000004</v>
      </c>
      <c r="AG10" s="48">
        <f t="shared" si="7"/>
        <v>0.91826923076923084</v>
      </c>
      <c r="AH10" s="47">
        <v>4.1859999999999999</v>
      </c>
      <c r="AI10" s="48">
        <f t="shared" si="8"/>
        <v>0.80499999999999994</v>
      </c>
      <c r="AJ10" s="47">
        <v>3.8140000000000001</v>
      </c>
      <c r="AK10" s="48">
        <f t="shared" si="9"/>
        <v>0.7334615384615385</v>
      </c>
      <c r="AL10" s="47">
        <v>3.2959999999999998</v>
      </c>
      <c r="AM10" s="48">
        <f t="shared" si="10"/>
        <v>0.63384615384615384</v>
      </c>
      <c r="AN10" s="47">
        <v>2.399</v>
      </c>
      <c r="AO10" s="48">
        <f t="shared" si="11"/>
        <v>0.46134615384615385</v>
      </c>
      <c r="AP10" s="47">
        <v>2.0329999999999999</v>
      </c>
      <c r="AQ10" s="48">
        <f t="shared" si="12"/>
        <v>0.39096153846153842</v>
      </c>
      <c r="AR10" s="47">
        <v>1.4019999999999999</v>
      </c>
      <c r="AS10" s="48">
        <f t="shared" si="13"/>
        <v>0.26961538461538459</v>
      </c>
      <c r="AT10" s="47">
        <v>1.1599999999999999</v>
      </c>
      <c r="AU10" s="48">
        <f t="shared" si="14"/>
        <v>0.22307692307692306</v>
      </c>
      <c r="AV10" s="47">
        <v>0.94799999999999995</v>
      </c>
      <c r="AW10" s="48">
        <f t="shared" si="15"/>
        <v>0.18230769230769228</v>
      </c>
      <c r="AX10" s="47">
        <v>0.76300000000000001</v>
      </c>
      <c r="AY10" s="48">
        <f t="shared" si="16"/>
        <v>0.14673076923076922</v>
      </c>
      <c r="AZ10" s="47">
        <v>0.65100000000000002</v>
      </c>
      <c r="BA10" s="48">
        <f t="shared" si="17"/>
        <v>0.12519230769230769</v>
      </c>
      <c r="BB10" s="47">
        <v>0.58599999999999997</v>
      </c>
      <c r="BC10" s="48">
        <f t="shared" si="18"/>
        <v>0.11269230769230767</v>
      </c>
      <c r="BD10" s="47">
        <v>0.49199999999999999</v>
      </c>
      <c r="BE10" s="48">
        <f t="shared" si="19"/>
        <v>9.4615384615384615E-2</v>
      </c>
      <c r="BF10" s="47">
        <v>0.32</v>
      </c>
      <c r="BG10" s="48">
        <f t="shared" si="20"/>
        <v>6.1538461538461535E-2</v>
      </c>
      <c r="BH10" s="47">
        <v>0.28499999999999998</v>
      </c>
      <c r="BI10" s="48">
        <f t="shared" si="21"/>
        <v>5.48076923076923E-2</v>
      </c>
      <c r="BJ10" s="37" t="s">
        <v>41</v>
      </c>
      <c r="BN10" s="51"/>
    </row>
    <row r="11" spans="1:66">
      <c r="A11" s="38" t="s">
        <v>38</v>
      </c>
      <c r="B11" s="39" t="s">
        <v>57</v>
      </c>
      <c r="C11" s="40">
        <v>26</v>
      </c>
      <c r="D11" s="41" t="s">
        <v>58</v>
      </c>
      <c r="E11" s="42">
        <v>5.0999999999999996</v>
      </c>
      <c r="F11" s="43">
        <v>5.0999999999999996</v>
      </c>
      <c r="G11" s="43">
        <v>5.0999999999999996</v>
      </c>
      <c r="H11" s="43">
        <v>5.0999999999999996</v>
      </c>
      <c r="I11" s="43">
        <v>5.0999999999999996</v>
      </c>
      <c r="J11" s="43">
        <v>5.0999999999999996</v>
      </c>
      <c r="K11" s="43">
        <v>5.0999999999999996</v>
      </c>
      <c r="L11" s="44">
        <v>5.0999999999999996</v>
      </c>
      <c r="M11" s="45">
        <v>5.0999999999999996</v>
      </c>
      <c r="N11" s="45">
        <v>5.0999999999999996</v>
      </c>
      <c r="O11" s="46">
        <v>5.0999999999999996</v>
      </c>
      <c r="P11" s="46">
        <v>5.0999999999999996</v>
      </c>
      <c r="Q11" s="46">
        <v>5.0999999999999996</v>
      </c>
      <c r="R11" s="47">
        <v>3.4279999999999999</v>
      </c>
      <c r="S11" s="48">
        <f t="shared" si="0"/>
        <v>0.67215686274509812</v>
      </c>
      <c r="T11" s="47">
        <v>4.0490000000000004</v>
      </c>
      <c r="U11" s="48">
        <f t="shared" si="1"/>
        <v>0.79392156862745111</v>
      </c>
      <c r="V11" s="47">
        <v>4.3220000000000001</v>
      </c>
      <c r="W11" s="48">
        <f t="shared" si="2"/>
        <v>0.84745098039215694</v>
      </c>
      <c r="X11" s="47">
        <v>4.4329999999999998</v>
      </c>
      <c r="Y11" s="48">
        <f t="shared" si="3"/>
        <v>0.86921568627450985</v>
      </c>
      <c r="Z11" s="47">
        <v>4.6399999999999997</v>
      </c>
      <c r="AA11" s="48">
        <f t="shared" si="4"/>
        <v>0.90980392156862744</v>
      </c>
      <c r="AB11" s="47">
        <v>4.55</v>
      </c>
      <c r="AC11" s="48">
        <f t="shared" si="5"/>
        <v>0.89215686274509809</v>
      </c>
      <c r="AD11" s="47">
        <v>4.5229999999999997</v>
      </c>
      <c r="AE11" s="48">
        <f t="shared" si="6"/>
        <v>0.8868627450980392</v>
      </c>
      <c r="AF11" s="47">
        <v>4.4720000000000004</v>
      </c>
      <c r="AG11" s="48">
        <f t="shared" si="7"/>
        <v>0.87686274509803941</v>
      </c>
      <c r="AH11" s="47">
        <v>4.0819999999999999</v>
      </c>
      <c r="AI11" s="48">
        <f t="shared" si="8"/>
        <v>0.80039215686274512</v>
      </c>
      <c r="AJ11" s="47">
        <v>3.5670000000000002</v>
      </c>
      <c r="AK11" s="48">
        <f t="shared" si="9"/>
        <v>0.6994117647058824</v>
      </c>
      <c r="AL11" s="47">
        <v>2.7240000000000002</v>
      </c>
      <c r="AM11" s="48">
        <f t="shared" si="10"/>
        <v>0.53411764705882359</v>
      </c>
      <c r="AN11" s="47">
        <v>1.827</v>
      </c>
      <c r="AO11" s="48">
        <f t="shared" si="11"/>
        <v>0.3582352941176471</v>
      </c>
      <c r="AP11" s="47">
        <v>1.5569999999999999</v>
      </c>
      <c r="AQ11" s="48">
        <f t="shared" si="12"/>
        <v>0.30529411764705883</v>
      </c>
      <c r="AR11" s="47">
        <v>0.94</v>
      </c>
      <c r="AS11" s="48">
        <f t="shared" si="13"/>
        <v>0.18431372549019609</v>
      </c>
      <c r="AT11" s="47">
        <v>0.82</v>
      </c>
      <c r="AU11" s="48">
        <f t="shared" si="14"/>
        <v>0.16078431372549021</v>
      </c>
      <c r="AV11" s="47">
        <v>0.77300000000000002</v>
      </c>
      <c r="AW11" s="48">
        <f t="shared" si="15"/>
        <v>0.1515686274509804</v>
      </c>
      <c r="AX11" s="47">
        <v>0.68799999999999994</v>
      </c>
      <c r="AY11" s="48">
        <f t="shared" si="16"/>
        <v>0.13490196078431371</v>
      </c>
      <c r="AZ11" s="47">
        <v>0.68200000000000005</v>
      </c>
      <c r="BA11" s="48">
        <f t="shared" si="17"/>
        <v>0.13372549019607846</v>
      </c>
      <c r="BB11" s="47">
        <v>0.66600000000000004</v>
      </c>
      <c r="BC11" s="48">
        <f t="shared" si="18"/>
        <v>0.13058823529411767</v>
      </c>
      <c r="BD11" s="47">
        <v>0.65800000000000003</v>
      </c>
      <c r="BE11" s="48">
        <f t="shared" si="19"/>
        <v>0.12901960784313726</v>
      </c>
      <c r="BF11" s="47">
        <v>0.63</v>
      </c>
      <c r="BG11" s="48">
        <f t="shared" si="20"/>
        <v>0.12352941176470589</v>
      </c>
      <c r="BH11" s="47">
        <v>0.77500000000000002</v>
      </c>
      <c r="BI11" s="48">
        <f t="shared" si="21"/>
        <v>0.15196078431372551</v>
      </c>
      <c r="BJ11" s="37" t="s">
        <v>41</v>
      </c>
      <c r="BN11" s="51"/>
    </row>
    <row r="12" spans="1:66">
      <c r="A12" s="52" t="s">
        <v>38</v>
      </c>
      <c r="B12" s="53" t="s">
        <v>59</v>
      </c>
      <c r="C12" s="54">
        <v>62</v>
      </c>
      <c r="D12" s="55" t="s">
        <v>60</v>
      </c>
      <c r="E12" s="56"/>
      <c r="F12" s="57"/>
      <c r="G12" s="57"/>
      <c r="H12" s="57"/>
      <c r="I12" s="57"/>
      <c r="J12" s="57"/>
      <c r="K12" s="57"/>
      <c r="L12" s="58"/>
      <c r="M12" s="59"/>
      <c r="N12" s="59"/>
      <c r="O12" s="60"/>
      <c r="P12" s="60"/>
      <c r="Q12" s="60">
        <v>1.2</v>
      </c>
      <c r="R12" s="61">
        <v>1.1890000000000001</v>
      </c>
      <c r="S12" s="48">
        <f t="shared" si="0"/>
        <v>0.99083333333333345</v>
      </c>
      <c r="T12" s="61">
        <v>1.2</v>
      </c>
      <c r="U12" s="48">
        <f t="shared" si="1"/>
        <v>1</v>
      </c>
      <c r="V12" s="61">
        <v>1.2</v>
      </c>
      <c r="W12" s="48">
        <f t="shared" si="2"/>
        <v>1</v>
      </c>
      <c r="X12" s="61">
        <v>1.2</v>
      </c>
      <c r="Y12" s="48">
        <f t="shared" si="3"/>
        <v>1</v>
      </c>
      <c r="Z12" s="61">
        <v>1.2</v>
      </c>
      <c r="AA12" s="48">
        <f t="shared" si="4"/>
        <v>1</v>
      </c>
      <c r="AB12" s="61">
        <v>1.153</v>
      </c>
      <c r="AC12" s="48">
        <f t="shared" si="5"/>
        <v>0.96083333333333343</v>
      </c>
      <c r="AD12" s="61">
        <v>1.1519999999999999</v>
      </c>
      <c r="AE12" s="48">
        <f t="shared" si="6"/>
        <v>0.96</v>
      </c>
      <c r="AF12" s="61">
        <v>1.1579999999999999</v>
      </c>
      <c r="AG12" s="62">
        <f t="shared" si="7"/>
        <v>0.96499999999999997</v>
      </c>
      <c r="AH12" s="61">
        <v>1.0940000000000001</v>
      </c>
      <c r="AI12" s="62">
        <f t="shared" si="8"/>
        <v>0.91166666666666674</v>
      </c>
      <c r="AJ12" s="61">
        <v>1.0349999999999999</v>
      </c>
      <c r="AK12" s="62">
        <f t="shared" si="9"/>
        <v>0.86249999999999993</v>
      </c>
      <c r="AL12" s="61">
        <v>0.88100000000000001</v>
      </c>
      <c r="AM12" s="62">
        <f t="shared" si="10"/>
        <v>0.73416666666666675</v>
      </c>
      <c r="AN12" s="61">
        <v>0.56299999999999994</v>
      </c>
      <c r="AO12" s="62">
        <f t="shared" si="11"/>
        <v>0.46916666666666662</v>
      </c>
      <c r="AP12" s="61">
        <v>0.33700000000000002</v>
      </c>
      <c r="AQ12" s="62">
        <f t="shared" si="12"/>
        <v>0.28083333333333338</v>
      </c>
      <c r="AR12" s="61">
        <v>0.125</v>
      </c>
      <c r="AS12" s="62">
        <f t="shared" si="13"/>
        <v>0.10416666666666667</v>
      </c>
      <c r="AT12" s="61">
        <v>0.13</v>
      </c>
      <c r="AU12" s="62">
        <f t="shared" si="14"/>
        <v>0.10833333333333334</v>
      </c>
      <c r="AV12" s="61">
        <v>0.129</v>
      </c>
      <c r="AW12" s="62">
        <f t="shared" si="15"/>
        <v>0.10750000000000001</v>
      </c>
      <c r="AX12" s="61">
        <v>0.125</v>
      </c>
      <c r="AY12" s="62">
        <f t="shared" si="16"/>
        <v>0.10416666666666667</v>
      </c>
      <c r="AZ12" s="61">
        <v>0.157</v>
      </c>
      <c r="BA12" s="62">
        <f t="shared" si="17"/>
        <v>0.13083333333333333</v>
      </c>
      <c r="BB12" s="61">
        <v>0.161</v>
      </c>
      <c r="BC12" s="62">
        <f t="shared" si="18"/>
        <v>0.13416666666666668</v>
      </c>
      <c r="BD12" s="61">
        <v>0.16700000000000001</v>
      </c>
      <c r="BE12" s="62">
        <f t="shared" si="19"/>
        <v>0.13916666666666669</v>
      </c>
      <c r="BF12" s="61">
        <v>0.17</v>
      </c>
      <c r="BG12" s="62">
        <f t="shared" si="20"/>
        <v>0.14166666666666669</v>
      </c>
      <c r="BH12" s="61">
        <v>0.252</v>
      </c>
      <c r="BI12" s="62">
        <f t="shared" si="21"/>
        <v>0.21000000000000002</v>
      </c>
      <c r="BJ12" s="37" t="s">
        <v>41</v>
      </c>
      <c r="BN12" s="51"/>
    </row>
    <row r="13" spans="1:66">
      <c r="A13" s="52" t="s">
        <v>38</v>
      </c>
      <c r="B13" s="53" t="s">
        <v>61</v>
      </c>
      <c r="C13" s="54">
        <v>21</v>
      </c>
      <c r="D13" s="55" t="s">
        <v>62</v>
      </c>
      <c r="E13" s="56">
        <v>2.5</v>
      </c>
      <c r="F13" s="57">
        <v>2.5</v>
      </c>
      <c r="G13" s="57">
        <v>2.5</v>
      </c>
      <c r="H13" s="57">
        <v>2.5</v>
      </c>
      <c r="I13" s="57">
        <v>2.5</v>
      </c>
      <c r="J13" s="57">
        <v>2.5</v>
      </c>
      <c r="K13" s="57">
        <v>2.5</v>
      </c>
      <c r="L13" s="58">
        <v>2.5</v>
      </c>
      <c r="M13" s="59">
        <v>2.5</v>
      </c>
      <c r="N13" s="59">
        <v>2.5</v>
      </c>
      <c r="O13" s="60">
        <v>2.5</v>
      </c>
      <c r="P13" s="60">
        <v>2.5</v>
      </c>
      <c r="Q13" s="60">
        <v>2.5</v>
      </c>
      <c r="R13" s="61">
        <v>0.873</v>
      </c>
      <c r="S13" s="62">
        <f t="shared" si="0"/>
        <v>0.34920000000000001</v>
      </c>
      <c r="T13" s="61">
        <v>1.5569999999999999</v>
      </c>
      <c r="U13" s="62">
        <f t="shared" si="1"/>
        <v>0.62280000000000002</v>
      </c>
      <c r="V13" s="61">
        <v>1.714</v>
      </c>
      <c r="W13" s="62">
        <f t="shared" si="2"/>
        <v>0.68559999999999999</v>
      </c>
      <c r="X13" s="61">
        <v>1.8029999999999999</v>
      </c>
      <c r="Y13" s="62">
        <f t="shared" si="3"/>
        <v>0.72119999999999995</v>
      </c>
      <c r="Z13" s="61">
        <v>1.9670000000000001</v>
      </c>
      <c r="AA13" s="62">
        <f t="shared" si="4"/>
        <v>0.78680000000000005</v>
      </c>
      <c r="AB13" s="61">
        <v>1.91</v>
      </c>
      <c r="AC13" s="62">
        <f t="shared" si="5"/>
        <v>0.76400000000000001</v>
      </c>
      <c r="AD13" s="61">
        <v>1.8879999999999999</v>
      </c>
      <c r="AE13" s="62">
        <f t="shared" si="6"/>
        <v>0.75519999999999998</v>
      </c>
      <c r="AF13" s="61">
        <v>1.8620000000000001</v>
      </c>
      <c r="AG13" s="62">
        <f t="shared" si="7"/>
        <v>0.74480000000000002</v>
      </c>
      <c r="AH13" s="61">
        <v>1.827</v>
      </c>
      <c r="AI13" s="62">
        <f t="shared" si="8"/>
        <v>0.73080000000000001</v>
      </c>
      <c r="AJ13" s="61">
        <v>1.524</v>
      </c>
      <c r="AK13" s="62">
        <f t="shared" si="9"/>
        <v>0.60960000000000003</v>
      </c>
      <c r="AL13" s="61">
        <v>1.1479999999999999</v>
      </c>
      <c r="AM13" s="62">
        <f t="shared" si="10"/>
        <v>0.45919999999999994</v>
      </c>
      <c r="AN13" s="61">
        <v>0.39300000000000002</v>
      </c>
      <c r="AO13" s="62">
        <f t="shared" si="11"/>
        <v>0.15720000000000001</v>
      </c>
      <c r="AP13" s="61">
        <v>0.19600000000000001</v>
      </c>
      <c r="AQ13" s="62">
        <f t="shared" si="12"/>
        <v>7.8399999999999997E-2</v>
      </c>
      <c r="AR13" s="61">
        <v>0.16900000000000001</v>
      </c>
      <c r="AS13" s="62">
        <f t="shared" si="13"/>
        <v>6.7600000000000007E-2</v>
      </c>
      <c r="AT13" s="61">
        <v>0.16</v>
      </c>
      <c r="AU13" s="62">
        <f t="shared" si="14"/>
        <v>6.4000000000000001E-2</v>
      </c>
      <c r="AV13" s="61">
        <v>0.14599999999999999</v>
      </c>
      <c r="AW13" s="62">
        <f t="shared" si="15"/>
        <v>5.8399999999999994E-2</v>
      </c>
      <c r="AX13" s="61">
        <v>0.124</v>
      </c>
      <c r="AY13" s="62">
        <f t="shared" si="16"/>
        <v>4.9599999999999998E-2</v>
      </c>
      <c r="AZ13" s="61">
        <v>0.114</v>
      </c>
      <c r="BA13" s="62">
        <f t="shared" si="17"/>
        <v>4.5600000000000002E-2</v>
      </c>
      <c r="BB13" s="61">
        <v>0.11</v>
      </c>
      <c r="BC13" s="62">
        <f t="shared" si="18"/>
        <v>4.3999999999999997E-2</v>
      </c>
      <c r="BD13" s="61">
        <v>0.109</v>
      </c>
      <c r="BE13" s="62">
        <f t="shared" si="19"/>
        <v>4.36E-2</v>
      </c>
      <c r="BF13" s="61">
        <v>0.1</v>
      </c>
      <c r="BG13" s="62">
        <f t="shared" si="20"/>
        <v>0.04</v>
      </c>
      <c r="BH13" s="61">
        <v>0.129</v>
      </c>
      <c r="BI13" s="62">
        <f t="shared" si="21"/>
        <v>5.16E-2</v>
      </c>
      <c r="BJ13" s="37" t="s">
        <v>41</v>
      </c>
      <c r="BN13" s="51"/>
    </row>
    <row r="14" spans="1:66" s="74" customFormat="1" ht="13.5" customHeight="1">
      <c r="A14" s="434" t="s">
        <v>63</v>
      </c>
      <c r="B14" s="434"/>
      <c r="C14" s="63"/>
      <c r="D14" s="64"/>
      <c r="E14" s="65">
        <f t="shared" ref="E14:O14" si="22">SUM(E2:E13)</f>
        <v>68.856000000000009</v>
      </c>
      <c r="F14" s="66">
        <f t="shared" si="22"/>
        <v>68.856000000000009</v>
      </c>
      <c r="G14" s="66">
        <f t="shared" si="22"/>
        <v>68.795000000000002</v>
      </c>
      <c r="H14" s="66">
        <f t="shared" si="22"/>
        <v>68.795000000000002</v>
      </c>
      <c r="I14" s="66">
        <f t="shared" si="22"/>
        <v>68.795000000000002</v>
      </c>
      <c r="J14" s="66">
        <f t="shared" si="22"/>
        <v>68.795000000000002</v>
      </c>
      <c r="K14" s="66">
        <f t="shared" si="22"/>
        <v>68.795000000000002</v>
      </c>
      <c r="L14" s="67">
        <f t="shared" si="22"/>
        <v>68.795000000000002</v>
      </c>
      <c r="M14" s="68">
        <f t="shared" si="22"/>
        <v>68.795000000000002</v>
      </c>
      <c r="N14" s="68">
        <f t="shared" si="22"/>
        <v>68.795000000000002</v>
      </c>
      <c r="O14" s="69">
        <f t="shared" si="22"/>
        <v>68.795000000000002</v>
      </c>
      <c r="P14" s="69">
        <v>68.795000000000002</v>
      </c>
      <c r="Q14" s="69">
        <f>SUM(Q2:Q13)</f>
        <v>69.995000000000005</v>
      </c>
      <c r="R14" s="70">
        <v>57.034999999999997</v>
      </c>
      <c r="S14" s="71">
        <f t="shared" si="0"/>
        <v>0.81484391742267293</v>
      </c>
      <c r="T14" s="70">
        <v>62.405000000000001</v>
      </c>
      <c r="U14" s="71">
        <f t="shared" si="1"/>
        <v>0.89156368312022283</v>
      </c>
      <c r="V14" s="70">
        <v>63.322000000000003</v>
      </c>
      <c r="W14" s="71">
        <f t="shared" si="2"/>
        <v>0.90466461890135008</v>
      </c>
      <c r="X14" s="70">
        <v>64.144999999999996</v>
      </c>
      <c r="Y14" s="71">
        <f t="shared" si="3"/>
        <v>0.91642260161440092</v>
      </c>
      <c r="Z14" s="70">
        <v>65.563999999999993</v>
      </c>
      <c r="AA14" s="71">
        <f t="shared" si="4"/>
        <v>0.93669547824844612</v>
      </c>
      <c r="AB14" s="70">
        <v>66.206000000000003</v>
      </c>
      <c r="AC14" s="71">
        <f t="shared" si="5"/>
        <v>0.94586756196871202</v>
      </c>
      <c r="AD14" s="70">
        <v>66.033000000000001</v>
      </c>
      <c r="AE14" s="71">
        <f t="shared" si="6"/>
        <v>0.94339595685406097</v>
      </c>
      <c r="AF14" s="70">
        <v>65.180999999999997</v>
      </c>
      <c r="AG14" s="71">
        <f t="shared" si="7"/>
        <v>0.93122365883277369</v>
      </c>
      <c r="AH14" s="70">
        <v>60.548000000000002</v>
      </c>
      <c r="AI14" s="71">
        <f t="shared" si="8"/>
        <v>0.86503321665833266</v>
      </c>
      <c r="AJ14" s="70">
        <v>55.265000000000001</v>
      </c>
      <c r="AK14" s="71">
        <f t="shared" si="9"/>
        <v>0.78955639688549173</v>
      </c>
      <c r="AL14" s="70">
        <v>46.582000000000001</v>
      </c>
      <c r="AM14" s="71">
        <f t="shared" si="10"/>
        <v>0.66550467890563614</v>
      </c>
      <c r="AN14" s="70">
        <v>32.402999999999999</v>
      </c>
      <c r="AO14" s="71">
        <f t="shared" si="11"/>
        <v>0.46293306664761763</v>
      </c>
      <c r="AP14" s="70">
        <v>25.952000000000002</v>
      </c>
      <c r="AQ14" s="71">
        <f t="shared" si="12"/>
        <v>0.37076934066719053</v>
      </c>
      <c r="AR14" s="70">
        <v>17.173999999999999</v>
      </c>
      <c r="AS14" s="71">
        <f t="shared" si="13"/>
        <v>0.24536038288449172</v>
      </c>
      <c r="AT14" s="70">
        <v>15.27</v>
      </c>
      <c r="AU14" s="71">
        <f t="shared" si="14"/>
        <v>0.21815843988856345</v>
      </c>
      <c r="AV14" s="70">
        <v>13.741</v>
      </c>
      <c r="AW14" s="71">
        <f t="shared" si="15"/>
        <v>0.19631402243017357</v>
      </c>
      <c r="AX14" s="70">
        <v>11.667999999999999</v>
      </c>
      <c r="AY14" s="71">
        <f t="shared" si="16"/>
        <v>0.1666976212586613</v>
      </c>
      <c r="AZ14" s="70">
        <v>11.368</v>
      </c>
      <c r="BA14" s="71">
        <f t="shared" si="17"/>
        <v>0.1624116008286306</v>
      </c>
      <c r="BB14" s="70">
        <v>11.137</v>
      </c>
      <c r="BC14" s="71">
        <f t="shared" si="18"/>
        <v>0.15911136509750695</v>
      </c>
      <c r="BD14" s="70">
        <v>10.894</v>
      </c>
      <c r="BE14" s="71">
        <f t="shared" si="19"/>
        <v>0.15563968854918209</v>
      </c>
      <c r="BF14" s="70">
        <f>SUM(BF2:BF13)</f>
        <v>10.33</v>
      </c>
      <c r="BG14" s="71">
        <f t="shared" si="20"/>
        <v>0.14758197014072433</v>
      </c>
      <c r="BH14" s="70">
        <f>SUM(BH2:BH13)</f>
        <v>16.118000000000002</v>
      </c>
      <c r="BI14" s="71">
        <f t="shared" si="21"/>
        <v>0.23027359097078365</v>
      </c>
      <c r="BJ14" s="72"/>
      <c r="BK14" s="73"/>
      <c r="BN14" s="51"/>
    </row>
    <row r="15" spans="1:66" ht="6.75" customHeight="1">
      <c r="A15" s="75"/>
      <c r="B15" s="75"/>
      <c r="C15" s="76"/>
      <c r="D15" s="77"/>
      <c r="E15" s="78"/>
      <c r="F15" s="78"/>
      <c r="G15" s="78"/>
      <c r="H15" s="78"/>
      <c r="I15" s="78"/>
      <c r="J15" s="78"/>
      <c r="K15" s="78"/>
      <c r="L15" s="78"/>
      <c r="M15" s="79"/>
      <c r="N15" s="79"/>
      <c r="O15" s="80"/>
      <c r="P15" s="80"/>
      <c r="Q15" s="80"/>
      <c r="R15" s="81"/>
      <c r="S15" s="82"/>
      <c r="T15" s="81"/>
      <c r="U15" s="82"/>
      <c r="V15" s="81"/>
      <c r="W15" s="82"/>
      <c r="X15" s="81"/>
      <c r="Y15" s="82"/>
      <c r="Z15" s="81"/>
      <c r="AA15" s="82"/>
      <c r="AB15" s="81"/>
      <c r="AC15" s="82"/>
      <c r="AD15" s="81"/>
      <c r="AE15" s="82"/>
      <c r="AF15" s="81"/>
      <c r="AG15" s="82"/>
      <c r="AH15" s="81"/>
      <c r="AI15" s="82"/>
      <c r="AJ15" s="81"/>
      <c r="AK15" s="82"/>
      <c r="AL15" s="81"/>
      <c r="AM15" s="82"/>
      <c r="AN15" s="81"/>
      <c r="AO15" s="82"/>
      <c r="AP15" s="81"/>
      <c r="AQ15" s="82"/>
      <c r="AR15" s="81"/>
      <c r="AS15" s="82"/>
      <c r="AT15" s="81"/>
      <c r="AU15" s="82"/>
      <c r="AV15" s="81"/>
      <c r="AW15" s="82"/>
      <c r="AX15" s="81"/>
      <c r="AY15" s="82"/>
      <c r="AZ15" s="81"/>
      <c r="BA15" s="82"/>
      <c r="BB15" s="81"/>
      <c r="BC15" s="82"/>
      <c r="BD15" s="81"/>
      <c r="BE15" s="82"/>
      <c r="BF15" s="81"/>
      <c r="BG15" s="82"/>
      <c r="BH15" s="81"/>
      <c r="BI15" s="82"/>
      <c r="BJ15" s="83"/>
      <c r="BN15" s="51"/>
    </row>
    <row r="16" spans="1:66" s="74" customFormat="1">
      <c r="A16" s="84" t="s">
        <v>64</v>
      </c>
      <c r="B16" s="85" t="s">
        <v>65</v>
      </c>
      <c r="C16" s="86">
        <v>1</v>
      </c>
      <c r="D16" s="87" t="s">
        <v>64</v>
      </c>
      <c r="E16" s="65">
        <v>24.2</v>
      </c>
      <c r="F16" s="66">
        <v>24.2</v>
      </c>
      <c r="G16" s="66">
        <v>24.2</v>
      </c>
      <c r="H16" s="66">
        <v>24.2</v>
      </c>
      <c r="I16" s="66">
        <v>24.2</v>
      </c>
      <c r="J16" s="66">
        <v>24.2</v>
      </c>
      <c r="K16" s="88">
        <v>21.17</v>
      </c>
      <c r="L16" s="89">
        <v>21.17</v>
      </c>
      <c r="M16" s="90">
        <v>21.17</v>
      </c>
      <c r="N16" s="90">
        <v>21.2</v>
      </c>
      <c r="O16" s="91">
        <v>21.2</v>
      </c>
      <c r="P16" s="91">
        <v>21.2</v>
      </c>
      <c r="Q16" s="91">
        <v>21.2</v>
      </c>
      <c r="R16" s="92">
        <v>20.37</v>
      </c>
      <c r="S16" s="93">
        <f>R16/$Q16</f>
        <v>0.96084905660377362</v>
      </c>
      <c r="T16" s="92">
        <v>20.95</v>
      </c>
      <c r="U16" s="93">
        <f>T16/$Q16</f>
        <v>0.9882075471698113</v>
      </c>
      <c r="V16" s="92">
        <v>21.31</v>
      </c>
      <c r="W16" s="93">
        <f>V16/$Q16</f>
        <v>1.0051886792452831</v>
      </c>
      <c r="X16" s="92">
        <v>21.29</v>
      </c>
      <c r="Y16" s="71">
        <f>X16/$Q16</f>
        <v>1.004245283018868</v>
      </c>
      <c r="Z16" s="92">
        <v>21.32</v>
      </c>
      <c r="AA16" s="93">
        <f>Z16/$Q16</f>
        <v>1.0056603773584907</v>
      </c>
      <c r="AB16" s="92">
        <v>20.85</v>
      </c>
      <c r="AC16" s="93">
        <f>AB16/$Q16</f>
        <v>0.98349056603773599</v>
      </c>
      <c r="AD16" s="92">
        <v>21.02</v>
      </c>
      <c r="AE16" s="93">
        <f>AD16/$Q16</f>
        <v>0.99150943396226421</v>
      </c>
      <c r="AF16" s="92">
        <v>20.39</v>
      </c>
      <c r="AG16" s="93">
        <f>AF16/$Q16</f>
        <v>0.96179245283018877</v>
      </c>
      <c r="AH16" s="92">
        <v>20.190000000000001</v>
      </c>
      <c r="AI16" s="93">
        <f>AH16/$Q16</f>
        <v>0.95235849056603783</v>
      </c>
      <c r="AJ16" s="92">
        <v>19.68</v>
      </c>
      <c r="AK16" s="93">
        <f>AJ16/$Q16</f>
        <v>0.92830188679245285</v>
      </c>
      <c r="AL16" s="92">
        <v>16.95</v>
      </c>
      <c r="AM16" s="93">
        <f>AL16/$Q16</f>
        <v>0.79952830188679247</v>
      </c>
      <c r="AN16" s="92">
        <v>13.58</v>
      </c>
      <c r="AO16" s="93">
        <f>AN16/$Q16</f>
        <v>0.64056603773584908</v>
      </c>
      <c r="AP16" s="92">
        <v>11.19</v>
      </c>
      <c r="AQ16" s="93">
        <f>AP16/$Q16</f>
        <v>0.52783018867924525</v>
      </c>
      <c r="AR16" s="92"/>
      <c r="AS16" s="93">
        <f>AR16/$Q16</f>
        <v>0</v>
      </c>
      <c r="AT16" s="92">
        <v>5.95</v>
      </c>
      <c r="AU16" s="93">
        <f>AT16/$Q16</f>
        <v>0.28066037735849059</v>
      </c>
      <c r="AV16" s="92">
        <v>4.83</v>
      </c>
      <c r="AW16" s="93">
        <f>AV16/$Q16</f>
        <v>0.22783018867924529</v>
      </c>
      <c r="AX16" s="92">
        <v>3.89</v>
      </c>
      <c r="AY16" s="93">
        <f>AX16/$Q16</f>
        <v>0.18349056603773586</v>
      </c>
      <c r="AZ16" s="92">
        <v>2.14</v>
      </c>
      <c r="BA16" s="93">
        <f>AZ16/$Q16</f>
        <v>0.1009433962264151</v>
      </c>
      <c r="BB16" s="92">
        <v>2.97</v>
      </c>
      <c r="BC16" s="93">
        <f>BB16/$Q16</f>
        <v>0.14009433962264153</v>
      </c>
      <c r="BD16" s="92">
        <v>2.82</v>
      </c>
      <c r="BE16" s="93">
        <f>BD16/$Q16</f>
        <v>0.1330188679245283</v>
      </c>
      <c r="BF16" s="92">
        <f>1.35+1.25</f>
        <v>2.6</v>
      </c>
      <c r="BG16" s="93">
        <f>BF16/$Q16</f>
        <v>0.12264150943396228</v>
      </c>
      <c r="BH16" s="92">
        <f>1.36+1.43</f>
        <v>2.79</v>
      </c>
      <c r="BI16" s="93">
        <f>BH16/$Q16</f>
        <v>0.13160377358490566</v>
      </c>
      <c r="BJ16" s="37" t="s">
        <v>66</v>
      </c>
      <c r="BK16" s="13"/>
      <c r="BN16" s="51"/>
    </row>
    <row r="17" spans="1:66" ht="6.75" customHeight="1">
      <c r="A17" s="94"/>
      <c r="B17" s="94"/>
      <c r="C17" s="95"/>
      <c r="D17" s="96"/>
      <c r="E17" s="97"/>
      <c r="F17" s="97"/>
      <c r="G17" s="97"/>
      <c r="H17" s="97"/>
      <c r="I17" s="97"/>
      <c r="J17" s="97"/>
      <c r="K17" s="97"/>
      <c r="L17" s="97"/>
      <c r="M17" s="79"/>
      <c r="N17" s="79"/>
      <c r="O17" s="80"/>
      <c r="P17" s="80"/>
      <c r="Q17" s="80"/>
      <c r="R17" s="81"/>
      <c r="S17" s="82"/>
      <c r="T17" s="81"/>
      <c r="U17" s="82"/>
      <c r="V17" s="81"/>
      <c r="W17" s="82"/>
      <c r="X17" s="81"/>
      <c r="Y17" s="82"/>
      <c r="Z17" s="81"/>
      <c r="AA17" s="82"/>
      <c r="AB17" s="81"/>
      <c r="AC17" s="82"/>
      <c r="AD17" s="81"/>
      <c r="AE17" s="82"/>
      <c r="AF17" s="81"/>
      <c r="AG17" s="82"/>
      <c r="AH17" s="81"/>
      <c r="AI17" s="82"/>
      <c r="AJ17" s="81"/>
      <c r="AK17" s="82"/>
      <c r="AL17" s="81"/>
      <c r="AM17" s="82"/>
      <c r="AN17" s="81"/>
      <c r="AO17" s="82"/>
      <c r="AP17" s="81"/>
      <c r="AQ17" s="82"/>
      <c r="AR17" s="81"/>
      <c r="AS17" s="82"/>
      <c r="AT17" s="81"/>
      <c r="AU17" s="82"/>
      <c r="AV17" s="81"/>
      <c r="AW17" s="82"/>
      <c r="AX17" s="81"/>
      <c r="AY17" s="82"/>
      <c r="AZ17" s="81"/>
      <c r="BA17" s="82"/>
      <c r="BB17" s="81"/>
      <c r="BC17" s="82"/>
      <c r="BD17" s="81"/>
      <c r="BE17" s="82"/>
      <c r="BF17" s="81"/>
      <c r="BG17" s="82"/>
      <c r="BH17" s="81"/>
      <c r="BI17" s="82"/>
      <c r="BJ17" s="83"/>
      <c r="BN17" s="51"/>
    </row>
    <row r="18" spans="1:66" s="74" customFormat="1">
      <c r="A18" s="98" t="s">
        <v>67</v>
      </c>
      <c r="B18" s="39" t="s">
        <v>68</v>
      </c>
      <c r="C18" s="40">
        <v>2</v>
      </c>
      <c r="D18" s="99" t="s">
        <v>69</v>
      </c>
      <c r="E18" s="66">
        <v>5</v>
      </c>
      <c r="F18" s="66">
        <v>5</v>
      </c>
      <c r="G18" s="66">
        <v>5</v>
      </c>
      <c r="H18" s="66">
        <v>5</v>
      </c>
      <c r="I18" s="66">
        <v>5</v>
      </c>
      <c r="J18" s="66">
        <v>5</v>
      </c>
      <c r="K18" s="66">
        <v>5</v>
      </c>
      <c r="L18" s="67">
        <v>5</v>
      </c>
      <c r="M18" s="100">
        <v>5</v>
      </c>
      <c r="N18" s="100">
        <v>4.9524999999999997</v>
      </c>
      <c r="O18" s="101">
        <v>4.9524999999999997</v>
      </c>
      <c r="P18" s="101">
        <v>4.9524999999999997</v>
      </c>
      <c r="Q18" s="101">
        <v>4.9524999999999997</v>
      </c>
      <c r="R18" s="92">
        <v>4.99</v>
      </c>
      <c r="S18" s="93">
        <f>R18/$Q18</f>
        <v>1.0075719333669866</v>
      </c>
      <c r="T18" s="92">
        <v>4.9160000000000004</v>
      </c>
      <c r="U18" s="93">
        <f>T18/$Q18</f>
        <v>0.99262998485613341</v>
      </c>
      <c r="V18" s="92">
        <v>4.9690000000000003</v>
      </c>
      <c r="W18" s="93">
        <f>V18/$Q18</f>
        <v>1.0033316506814742</v>
      </c>
      <c r="X18" s="92">
        <v>4.9770000000000003</v>
      </c>
      <c r="Y18" s="93">
        <f>X18/$Q18</f>
        <v>1.0049469964664313</v>
      </c>
      <c r="Z18" s="92">
        <v>4.976</v>
      </c>
      <c r="AA18" s="93">
        <f>Z18/$Q18</f>
        <v>1.0047450782433116</v>
      </c>
      <c r="AB18" s="92">
        <v>4.9459999999999997</v>
      </c>
      <c r="AC18" s="93">
        <f>AB18/$Q18</f>
        <v>0.99868753154972234</v>
      </c>
      <c r="AD18" s="102"/>
      <c r="AE18" s="103"/>
      <c r="AF18" s="92">
        <v>4.9180000000000001</v>
      </c>
      <c r="AG18" s="93">
        <f>AF18/$Q18</f>
        <v>0.99303382130237261</v>
      </c>
      <c r="AH18" s="92">
        <v>4.9429999999999996</v>
      </c>
      <c r="AI18" s="93">
        <f>AH18/$Q18</f>
        <v>0.99808177688036348</v>
      </c>
      <c r="AJ18" s="92">
        <v>4.8979999999999997</v>
      </c>
      <c r="AK18" s="93">
        <f>AJ18/$Q18</f>
        <v>0.9889954568399798</v>
      </c>
      <c r="AL18" s="92">
        <v>4.7720000000000002</v>
      </c>
      <c r="AM18" s="93">
        <f>AL18/$Q18</f>
        <v>0.96355376072690568</v>
      </c>
      <c r="AN18" s="92">
        <v>4.4119999999999999</v>
      </c>
      <c r="AO18" s="93">
        <f>AN18/$Q18</f>
        <v>0.89086320040383649</v>
      </c>
      <c r="AP18" s="92">
        <v>3.5169999999999999</v>
      </c>
      <c r="AQ18" s="93">
        <f>AP18/$Q18</f>
        <v>0.71014639071176178</v>
      </c>
      <c r="AR18" s="92">
        <v>2.9380000000000002</v>
      </c>
      <c r="AS18" s="93">
        <f>AR18/$Q18</f>
        <v>0.59323573952549224</v>
      </c>
      <c r="AT18" s="92">
        <v>2.48</v>
      </c>
      <c r="AU18" s="93">
        <f>AT18/$Q18</f>
        <v>0.50075719333669866</v>
      </c>
      <c r="AV18" s="92">
        <v>2.2469999999999999</v>
      </c>
      <c r="AW18" s="93">
        <f>AV18/$Q18</f>
        <v>0.45371024734982335</v>
      </c>
      <c r="AX18" s="92">
        <v>1.9830000000000001</v>
      </c>
      <c r="AY18" s="93">
        <f>AX18/$Q18</f>
        <v>0.40040383644623934</v>
      </c>
      <c r="AZ18" s="92">
        <v>1.87</v>
      </c>
      <c r="BA18" s="93">
        <f>AZ18/$Q18</f>
        <v>0.37758707723372037</v>
      </c>
      <c r="BB18" s="92">
        <v>1.9</v>
      </c>
      <c r="BC18" s="93">
        <f>BB18/$Q18</f>
        <v>0.38364462392730947</v>
      </c>
      <c r="BD18" s="92">
        <v>1.8879999999999999</v>
      </c>
      <c r="BE18" s="93">
        <f>BD18/$Q18</f>
        <v>0.38122160524987381</v>
      </c>
      <c r="BF18" s="92">
        <v>1.88</v>
      </c>
      <c r="BG18" s="93">
        <f>BF18/$Q18</f>
        <v>0.37960625946491672</v>
      </c>
      <c r="BH18" s="92">
        <v>2.0249999999999999</v>
      </c>
      <c r="BI18" s="93">
        <f>BH18/$Q18</f>
        <v>0.40888440181726404</v>
      </c>
      <c r="BJ18" s="104" t="s">
        <v>70</v>
      </c>
      <c r="BK18" s="73"/>
      <c r="BN18" s="51"/>
    </row>
    <row r="19" spans="1:66" ht="7.5" customHeight="1">
      <c r="A19" s="105"/>
      <c r="B19" s="105"/>
      <c r="C19" s="106"/>
      <c r="D19" s="107"/>
      <c r="E19" s="97"/>
      <c r="F19" s="97"/>
      <c r="G19" s="97"/>
      <c r="H19" s="97"/>
      <c r="I19" s="97"/>
      <c r="J19" s="97"/>
      <c r="K19" s="97"/>
      <c r="L19" s="108"/>
      <c r="M19" s="109"/>
      <c r="N19" s="109"/>
      <c r="O19" s="110"/>
      <c r="P19" s="110"/>
      <c r="Q19" s="110"/>
      <c r="R19" s="81"/>
      <c r="S19" s="82"/>
      <c r="T19" s="81"/>
      <c r="U19" s="82"/>
      <c r="V19" s="81"/>
      <c r="W19" s="82"/>
      <c r="X19" s="81"/>
      <c r="Y19" s="82"/>
      <c r="Z19" s="81"/>
      <c r="AA19" s="82"/>
      <c r="AB19" s="81"/>
      <c r="AC19" s="82"/>
      <c r="AD19" s="81"/>
      <c r="AE19" s="82"/>
      <c r="AF19" s="81"/>
      <c r="AG19" s="82"/>
      <c r="AH19" s="81"/>
      <c r="AI19" s="82"/>
      <c r="AJ19" s="81"/>
      <c r="AK19" s="82"/>
      <c r="AL19" s="81"/>
      <c r="AM19" s="82"/>
      <c r="AN19" s="81"/>
      <c r="AO19" s="82"/>
      <c r="AP19" s="81"/>
      <c r="AQ19" s="82"/>
      <c r="AR19" s="81"/>
      <c r="AS19" s="82"/>
      <c r="AT19" s="81"/>
      <c r="AU19" s="82"/>
      <c r="AV19" s="81"/>
      <c r="AW19" s="82"/>
      <c r="AX19" s="81"/>
      <c r="AY19" s="82"/>
      <c r="AZ19" s="81"/>
      <c r="BA19" s="82"/>
      <c r="BB19" s="81"/>
      <c r="BC19" s="82"/>
      <c r="BD19" s="81"/>
      <c r="BE19" s="82"/>
      <c r="BF19" s="81"/>
      <c r="BG19" s="82"/>
      <c r="BH19" s="81"/>
      <c r="BI19" s="82"/>
      <c r="BJ19" s="83"/>
      <c r="BN19" s="51"/>
    </row>
    <row r="20" spans="1:66">
      <c r="A20" s="39" t="s">
        <v>71</v>
      </c>
      <c r="B20" s="39" t="s">
        <v>72</v>
      </c>
      <c r="C20" s="40">
        <v>9</v>
      </c>
      <c r="D20" s="99" t="s">
        <v>73</v>
      </c>
      <c r="E20" s="43">
        <v>2</v>
      </c>
      <c r="F20" s="43">
        <v>2</v>
      </c>
      <c r="G20" s="43">
        <v>2</v>
      </c>
      <c r="H20" s="43">
        <v>2</v>
      </c>
      <c r="I20" s="43">
        <v>2</v>
      </c>
      <c r="J20" s="43">
        <v>2</v>
      </c>
      <c r="K20" s="111">
        <v>2</v>
      </c>
      <c r="L20" s="112">
        <v>2</v>
      </c>
      <c r="M20" s="113">
        <v>2</v>
      </c>
      <c r="N20" s="113">
        <v>2</v>
      </c>
      <c r="O20" s="114">
        <v>2</v>
      </c>
      <c r="P20" s="114">
        <v>2</v>
      </c>
      <c r="Q20" s="114">
        <v>2</v>
      </c>
      <c r="R20" s="115"/>
      <c r="S20" s="116">
        <f t="shared" ref="S20:S30" si="23">R20/$Q20</f>
        <v>0</v>
      </c>
      <c r="T20" s="117">
        <v>1.587</v>
      </c>
      <c r="U20" s="118">
        <f t="shared" ref="U20:U30" si="24">T20/$Q20</f>
        <v>0.79349999999999998</v>
      </c>
      <c r="V20" s="117">
        <v>1.6259999999999999</v>
      </c>
      <c r="W20" s="118">
        <f t="shared" ref="W20:W30" si="25">V20/$Q20</f>
        <v>0.81299999999999994</v>
      </c>
      <c r="X20" s="117">
        <v>1.681</v>
      </c>
      <c r="Y20" s="118">
        <f t="shared" ref="Y20:Y30" si="26">X20/$Q20</f>
        <v>0.84050000000000002</v>
      </c>
      <c r="Z20" s="117">
        <v>1.6419999999999999</v>
      </c>
      <c r="AA20" s="118">
        <f t="shared" ref="AA20:AA30" si="27">Z20/$Q20</f>
        <v>0.82099999999999995</v>
      </c>
      <c r="AB20" s="117">
        <v>1.6259999999999999</v>
      </c>
      <c r="AC20" s="118">
        <f t="shared" ref="AC20:AC30" si="28">AB20/$Q20</f>
        <v>0.81299999999999994</v>
      </c>
      <c r="AD20" s="117">
        <v>1.6319999999999999</v>
      </c>
      <c r="AE20" s="118">
        <f t="shared" ref="AE20:AE30" si="29">AD20/$Q20</f>
        <v>0.81599999999999995</v>
      </c>
      <c r="AF20" s="117">
        <v>1.5609999999999999</v>
      </c>
      <c r="AG20" s="118">
        <f t="shared" ref="AG20:AG30" si="30">AF20/$Q20</f>
        <v>0.78049999999999997</v>
      </c>
      <c r="AH20" s="117">
        <v>1.5089999999999999</v>
      </c>
      <c r="AI20" s="118">
        <f t="shared" ref="AI20:AI30" si="31">AH20/$Q20</f>
        <v>0.75449999999999995</v>
      </c>
      <c r="AJ20" s="117">
        <v>1.4790000000000001</v>
      </c>
      <c r="AK20" s="118">
        <f t="shared" ref="AK20:AK30" si="32">AJ20/$Q20</f>
        <v>0.73950000000000005</v>
      </c>
      <c r="AL20" s="117">
        <v>1.383</v>
      </c>
      <c r="AM20" s="118">
        <f t="shared" ref="AM20:AM30" si="33">AL20/$Q20</f>
        <v>0.6915</v>
      </c>
      <c r="AN20" s="117">
        <v>1.256</v>
      </c>
      <c r="AO20" s="118">
        <f t="shared" ref="AO20:AO30" si="34">AN20/$Q20</f>
        <v>0.628</v>
      </c>
      <c r="AP20" s="117">
        <v>1.5549999999999999</v>
      </c>
      <c r="AQ20" s="118">
        <f t="shared" ref="AQ20:AQ30" si="35">AP20/$Q20</f>
        <v>0.77749999999999997</v>
      </c>
      <c r="AR20" s="117">
        <v>1.0640000000000001</v>
      </c>
      <c r="AS20" s="118">
        <f t="shared" ref="AS20:AS30" si="36">AR20/$Q20</f>
        <v>0.53200000000000003</v>
      </c>
      <c r="AT20" s="117">
        <v>0.97</v>
      </c>
      <c r="AU20" s="118">
        <f t="shared" ref="AU20:AU30" si="37">AT20/$Q20</f>
        <v>0.48499999999999999</v>
      </c>
      <c r="AV20" s="117">
        <v>0.88100000000000001</v>
      </c>
      <c r="AW20" s="118">
        <f t="shared" ref="AW20:AW30" si="38">AV20/$Q20</f>
        <v>0.4405</v>
      </c>
      <c r="AX20" s="117">
        <v>0.86199999999999999</v>
      </c>
      <c r="AY20" s="118">
        <f t="shared" ref="AY20:AY30" si="39">AX20/$Q20</f>
        <v>0.43099999999999999</v>
      </c>
      <c r="AZ20" s="117">
        <v>0.84</v>
      </c>
      <c r="BA20" s="118">
        <f t="shared" ref="BA20:BA30" si="40">AZ20/$Q20</f>
        <v>0.42</v>
      </c>
      <c r="BB20" s="117">
        <v>0.77600000000000002</v>
      </c>
      <c r="BC20" s="118">
        <f t="shared" ref="BC20:BC30" si="41">BB20/$Q20</f>
        <v>0.38800000000000001</v>
      </c>
      <c r="BD20" s="117">
        <v>0.77</v>
      </c>
      <c r="BE20" s="118">
        <f t="shared" ref="BE20:BE30" si="42">BD20/$Q20</f>
        <v>0.38500000000000001</v>
      </c>
      <c r="BF20" s="117">
        <v>0.74</v>
      </c>
      <c r="BG20" s="118">
        <f t="shared" ref="BG20:BG30" si="43">BF20/$Q20</f>
        <v>0.37</v>
      </c>
      <c r="BH20" s="117">
        <v>0.72</v>
      </c>
      <c r="BI20" s="118">
        <f t="shared" ref="BI20:BI30" si="44">BH20/$Q20</f>
        <v>0.36</v>
      </c>
      <c r="BJ20" s="37" t="s">
        <v>420</v>
      </c>
      <c r="BN20" s="51"/>
    </row>
    <row r="21" spans="1:66">
      <c r="A21" s="39" t="s">
        <v>71</v>
      </c>
      <c r="B21" s="39" t="s">
        <v>74</v>
      </c>
      <c r="C21" s="40">
        <v>23</v>
      </c>
      <c r="D21" s="99" t="s">
        <v>75</v>
      </c>
      <c r="E21" s="43">
        <v>3</v>
      </c>
      <c r="F21" s="43">
        <v>3</v>
      </c>
      <c r="G21" s="43">
        <v>3</v>
      </c>
      <c r="H21" s="43">
        <v>3</v>
      </c>
      <c r="I21" s="43">
        <v>3</v>
      </c>
      <c r="J21" s="43">
        <v>3</v>
      </c>
      <c r="K21" s="111">
        <v>3</v>
      </c>
      <c r="L21" s="112">
        <v>3</v>
      </c>
      <c r="M21" s="119">
        <v>3.45</v>
      </c>
      <c r="N21" s="119">
        <v>3.41</v>
      </c>
      <c r="O21" s="120">
        <v>3.41</v>
      </c>
      <c r="P21" s="120">
        <v>3.41</v>
      </c>
      <c r="Q21" s="120">
        <v>3.41</v>
      </c>
      <c r="R21" s="47">
        <v>3.41</v>
      </c>
      <c r="S21" s="48">
        <f t="shared" si="23"/>
        <v>1</v>
      </c>
      <c r="T21" s="47">
        <v>3.41</v>
      </c>
      <c r="U21" s="48">
        <f t="shared" si="24"/>
        <v>1</v>
      </c>
      <c r="V21" s="47">
        <v>3.41</v>
      </c>
      <c r="W21" s="48">
        <f t="shared" si="25"/>
        <v>1</v>
      </c>
      <c r="X21" s="47">
        <v>3.41</v>
      </c>
      <c r="Y21" s="48">
        <f t="shared" si="26"/>
        <v>1</v>
      </c>
      <c r="Z21" s="47">
        <v>3.41</v>
      </c>
      <c r="AA21" s="48">
        <f t="shared" si="27"/>
        <v>1</v>
      </c>
      <c r="AB21" s="47">
        <v>3.3919999999999999</v>
      </c>
      <c r="AC21" s="48">
        <f t="shared" si="28"/>
        <v>0.99472140762463335</v>
      </c>
      <c r="AD21" s="47">
        <v>3.383</v>
      </c>
      <c r="AE21" s="48">
        <f t="shared" si="29"/>
        <v>0.99208211143695013</v>
      </c>
      <c r="AF21" s="47">
        <v>3.3679999999999999</v>
      </c>
      <c r="AG21" s="48">
        <f t="shared" si="30"/>
        <v>0.98768328445747788</v>
      </c>
      <c r="AH21" s="47">
        <v>3.1859999999999999</v>
      </c>
      <c r="AI21" s="48">
        <f t="shared" si="31"/>
        <v>0.9343108504398826</v>
      </c>
      <c r="AJ21" s="47">
        <v>2.968</v>
      </c>
      <c r="AK21" s="48">
        <f t="shared" si="32"/>
        <v>0.87038123167155423</v>
      </c>
      <c r="AL21" s="47">
        <v>2.7010000000000001</v>
      </c>
      <c r="AM21" s="48">
        <f t="shared" si="33"/>
        <v>0.79208211143695018</v>
      </c>
      <c r="AN21" s="47">
        <v>2.0790000000000002</v>
      </c>
      <c r="AO21" s="48">
        <f t="shared" si="34"/>
        <v>0.60967741935483877</v>
      </c>
      <c r="AP21" s="47">
        <v>1.7849999999999999</v>
      </c>
      <c r="AQ21" s="48">
        <f t="shared" si="35"/>
        <v>0.52346041055718473</v>
      </c>
      <c r="AR21" s="47">
        <v>1.494</v>
      </c>
      <c r="AS21" s="48">
        <f t="shared" si="36"/>
        <v>0.43812316715542521</v>
      </c>
      <c r="AT21" s="47">
        <v>1.47</v>
      </c>
      <c r="AU21" s="48">
        <f t="shared" si="37"/>
        <v>0.43108504398826974</v>
      </c>
      <c r="AV21" s="47">
        <v>1.45</v>
      </c>
      <c r="AW21" s="48">
        <f t="shared" si="38"/>
        <v>0.42521994134897356</v>
      </c>
      <c r="AX21" s="47">
        <v>1.3440000000000001</v>
      </c>
      <c r="AY21" s="48">
        <f t="shared" si="39"/>
        <v>0.39413489736070384</v>
      </c>
      <c r="AZ21" s="47">
        <v>1.3109999999999999</v>
      </c>
      <c r="BA21" s="48">
        <f t="shared" si="40"/>
        <v>0.38445747800586505</v>
      </c>
      <c r="BB21" s="47">
        <v>1.2909999999999999</v>
      </c>
      <c r="BC21" s="48">
        <f t="shared" si="41"/>
        <v>0.37859237536656887</v>
      </c>
      <c r="BD21" s="47">
        <v>1.2789999999999999</v>
      </c>
      <c r="BE21" s="48">
        <f t="shared" si="42"/>
        <v>0.37507331378299114</v>
      </c>
      <c r="BF21" s="47">
        <v>1.24</v>
      </c>
      <c r="BG21" s="48">
        <f t="shared" si="43"/>
        <v>0.36363636363636359</v>
      </c>
      <c r="BH21" s="47">
        <v>1.256</v>
      </c>
      <c r="BI21" s="48">
        <f t="shared" si="44"/>
        <v>0.36832844574780055</v>
      </c>
      <c r="BJ21" s="37" t="s">
        <v>41</v>
      </c>
      <c r="BN21" s="51"/>
    </row>
    <row r="22" spans="1:66">
      <c r="A22" s="39" t="s">
        <v>71</v>
      </c>
      <c r="B22" s="39" t="s">
        <v>76</v>
      </c>
      <c r="C22" s="40">
        <v>13</v>
      </c>
      <c r="D22" s="99" t="s">
        <v>77</v>
      </c>
      <c r="E22" s="43">
        <v>2.1</v>
      </c>
      <c r="F22" s="43">
        <v>2.1</v>
      </c>
      <c r="G22" s="43">
        <v>2.1</v>
      </c>
      <c r="H22" s="43">
        <v>2.1</v>
      </c>
      <c r="I22" s="43">
        <v>2.1</v>
      </c>
      <c r="J22" s="43">
        <v>2.1</v>
      </c>
      <c r="K22" s="111">
        <v>2.1</v>
      </c>
      <c r="L22" s="112">
        <v>2.1</v>
      </c>
      <c r="M22" s="119">
        <v>2.1</v>
      </c>
      <c r="N22" s="119">
        <v>2.1</v>
      </c>
      <c r="O22" s="120">
        <v>2.1</v>
      </c>
      <c r="P22" s="120">
        <v>2.1</v>
      </c>
      <c r="Q22" s="120">
        <v>2.1</v>
      </c>
      <c r="R22" s="47">
        <v>1.236</v>
      </c>
      <c r="S22" s="48">
        <f t="shared" si="23"/>
        <v>0.58857142857142852</v>
      </c>
      <c r="T22" s="47">
        <v>1.218</v>
      </c>
      <c r="U22" s="48">
        <f t="shared" si="24"/>
        <v>0.57999999999999996</v>
      </c>
      <c r="V22" s="47">
        <v>1.228</v>
      </c>
      <c r="W22" s="48">
        <f t="shared" si="25"/>
        <v>0.58476190476190471</v>
      </c>
      <c r="X22" s="47">
        <v>1.2789999999999999</v>
      </c>
      <c r="Y22" s="48">
        <f t="shared" si="26"/>
        <v>0.60904761904761895</v>
      </c>
      <c r="Z22" s="47">
        <v>1.288</v>
      </c>
      <c r="AA22" s="48">
        <f t="shared" si="27"/>
        <v>0.61333333333333329</v>
      </c>
      <c r="AB22" s="47">
        <v>1.246</v>
      </c>
      <c r="AC22" s="48">
        <f t="shared" si="28"/>
        <v>0.59333333333333327</v>
      </c>
      <c r="AD22" s="47">
        <v>1.228</v>
      </c>
      <c r="AE22" s="48">
        <f t="shared" si="29"/>
        <v>0.58476190476190471</v>
      </c>
      <c r="AF22" s="47">
        <v>1.2070000000000001</v>
      </c>
      <c r="AG22" s="48">
        <f t="shared" si="30"/>
        <v>0.57476190476190481</v>
      </c>
      <c r="AH22" s="47">
        <v>1.1830000000000001</v>
      </c>
      <c r="AI22" s="48">
        <f t="shared" si="31"/>
        <v>0.56333333333333335</v>
      </c>
      <c r="AJ22" s="47">
        <v>1.143</v>
      </c>
      <c r="AK22" s="48">
        <f t="shared" si="32"/>
        <v>0.54428571428571426</v>
      </c>
      <c r="AL22" s="47">
        <v>1.0860000000000001</v>
      </c>
      <c r="AM22" s="48">
        <f t="shared" si="33"/>
        <v>0.51714285714285713</v>
      </c>
      <c r="AN22" s="47">
        <v>1.02</v>
      </c>
      <c r="AO22" s="48">
        <f t="shared" si="34"/>
        <v>0.48571428571428571</v>
      </c>
      <c r="AP22" s="47">
        <v>0.95</v>
      </c>
      <c r="AQ22" s="48">
        <f t="shared" si="35"/>
        <v>0.45238095238095233</v>
      </c>
      <c r="AR22" s="47">
        <v>0.85</v>
      </c>
      <c r="AS22" s="48">
        <f t="shared" si="36"/>
        <v>0.40476190476190471</v>
      </c>
      <c r="AT22" s="47">
        <v>0.78</v>
      </c>
      <c r="AU22" s="48">
        <f t="shared" si="37"/>
        <v>0.37142857142857144</v>
      </c>
      <c r="AV22" s="47">
        <v>0.75</v>
      </c>
      <c r="AW22" s="48">
        <f t="shared" si="38"/>
        <v>0.35714285714285715</v>
      </c>
      <c r="AX22" s="47">
        <v>0.74099999999999999</v>
      </c>
      <c r="AY22" s="48">
        <f t="shared" si="39"/>
        <v>0.35285714285714281</v>
      </c>
      <c r="AZ22" s="47">
        <v>0.73099999999999998</v>
      </c>
      <c r="BA22" s="48">
        <f t="shared" si="40"/>
        <v>0.34809523809523807</v>
      </c>
      <c r="BB22" s="47">
        <v>0.71199999999999997</v>
      </c>
      <c r="BC22" s="48">
        <f t="shared" si="41"/>
        <v>0.33904761904761904</v>
      </c>
      <c r="BD22" s="47">
        <v>0.60699999999999998</v>
      </c>
      <c r="BE22" s="48">
        <f t="shared" si="42"/>
        <v>0.28904761904761905</v>
      </c>
      <c r="BF22" s="47">
        <v>0.59</v>
      </c>
      <c r="BG22" s="48">
        <f t="shared" si="43"/>
        <v>0.28095238095238095</v>
      </c>
      <c r="BH22" s="47">
        <v>0.58699999999999997</v>
      </c>
      <c r="BI22" s="48">
        <f t="shared" si="44"/>
        <v>0.27952380952380951</v>
      </c>
      <c r="BJ22" s="121" t="s">
        <v>78</v>
      </c>
    </row>
    <row r="23" spans="1:66">
      <c r="A23" s="39" t="s">
        <v>71</v>
      </c>
      <c r="B23" s="39" t="s">
        <v>79</v>
      </c>
      <c r="C23" s="40">
        <v>14</v>
      </c>
      <c r="D23" s="99" t="s">
        <v>80</v>
      </c>
      <c r="E23" s="43">
        <v>4.93</v>
      </c>
      <c r="F23" s="43">
        <v>4.93</v>
      </c>
      <c r="G23" s="43">
        <v>4.93</v>
      </c>
      <c r="H23" s="43">
        <v>4.93</v>
      </c>
      <c r="I23" s="43">
        <v>4.93</v>
      </c>
      <c r="J23" s="43">
        <v>4.93</v>
      </c>
      <c r="K23" s="111">
        <v>4.93</v>
      </c>
      <c r="L23" s="112">
        <v>4.93</v>
      </c>
      <c r="M23" s="119">
        <v>4.93</v>
      </c>
      <c r="N23" s="119">
        <v>4.93</v>
      </c>
      <c r="O23" s="120">
        <v>4.93</v>
      </c>
      <c r="P23" s="120">
        <v>4.93</v>
      </c>
      <c r="Q23" s="120">
        <v>4.93</v>
      </c>
      <c r="R23" s="47">
        <v>3.05</v>
      </c>
      <c r="S23" s="48">
        <f t="shared" si="23"/>
        <v>0.61866125760649082</v>
      </c>
      <c r="T23" s="47">
        <v>3.69</v>
      </c>
      <c r="U23" s="48">
        <f t="shared" si="24"/>
        <v>0.74847870182555787</v>
      </c>
      <c r="V23" s="47">
        <v>3.77</v>
      </c>
      <c r="W23" s="48">
        <f t="shared" si="25"/>
        <v>0.76470588235294124</v>
      </c>
      <c r="X23" s="47">
        <v>3.96</v>
      </c>
      <c r="Y23" s="48">
        <f t="shared" si="26"/>
        <v>0.80324543610547672</v>
      </c>
      <c r="Z23" s="47">
        <v>4.13</v>
      </c>
      <c r="AA23" s="48">
        <f t="shared" si="27"/>
        <v>0.83772819472616633</v>
      </c>
      <c r="AB23" s="47">
        <v>4.17</v>
      </c>
      <c r="AC23" s="48">
        <f t="shared" si="28"/>
        <v>0.84584178498985807</v>
      </c>
      <c r="AD23" s="47">
        <v>4.16</v>
      </c>
      <c r="AE23" s="48">
        <f t="shared" si="29"/>
        <v>0.84381338742393519</v>
      </c>
      <c r="AF23" s="47">
        <v>4.12</v>
      </c>
      <c r="AG23" s="48">
        <f t="shared" si="30"/>
        <v>0.83569979716024345</v>
      </c>
      <c r="AH23" s="47">
        <v>4.1399999999999997</v>
      </c>
      <c r="AI23" s="48">
        <f t="shared" si="31"/>
        <v>0.83975659229208921</v>
      </c>
      <c r="AJ23" s="47">
        <v>4.1100000000000003</v>
      </c>
      <c r="AK23" s="48">
        <f t="shared" si="32"/>
        <v>0.83367139959432057</v>
      </c>
      <c r="AL23" s="47">
        <v>3.71</v>
      </c>
      <c r="AM23" s="48">
        <f t="shared" si="33"/>
        <v>0.75253549695740374</v>
      </c>
      <c r="AN23" s="47">
        <v>3.3</v>
      </c>
      <c r="AO23" s="48">
        <f t="shared" si="34"/>
        <v>0.66937119675456391</v>
      </c>
      <c r="AP23" s="47">
        <v>2.86</v>
      </c>
      <c r="AQ23" s="48">
        <f t="shared" si="35"/>
        <v>0.58012170385395534</v>
      </c>
      <c r="AR23" s="47">
        <v>2.46</v>
      </c>
      <c r="AS23" s="48">
        <f t="shared" si="36"/>
        <v>0.49898580121703856</v>
      </c>
      <c r="AT23" s="47">
        <v>2.2599999999999998</v>
      </c>
      <c r="AU23" s="48">
        <f t="shared" si="37"/>
        <v>0.45841784989858009</v>
      </c>
      <c r="AV23" s="47">
        <v>2.0299999999999998</v>
      </c>
      <c r="AW23" s="48">
        <f t="shared" si="38"/>
        <v>0.41176470588235292</v>
      </c>
      <c r="AX23" s="47">
        <v>1.69</v>
      </c>
      <c r="AY23" s="48">
        <f t="shared" si="39"/>
        <v>0.34279918864097364</v>
      </c>
      <c r="AZ23" s="47">
        <v>1.39</v>
      </c>
      <c r="BA23" s="48">
        <f t="shared" si="40"/>
        <v>0.28194726166328599</v>
      </c>
      <c r="BB23" s="47">
        <v>1.26</v>
      </c>
      <c r="BC23" s="48">
        <f t="shared" si="41"/>
        <v>0.25557809330628806</v>
      </c>
      <c r="BD23" s="47">
        <v>1</v>
      </c>
      <c r="BE23" s="48">
        <f t="shared" si="42"/>
        <v>0.20283975659229211</v>
      </c>
      <c r="BF23" s="47">
        <v>0.64</v>
      </c>
      <c r="BG23" s="48">
        <f t="shared" si="43"/>
        <v>0.12981744421906694</v>
      </c>
      <c r="BH23" s="47">
        <v>0.66</v>
      </c>
      <c r="BI23" s="48">
        <f t="shared" si="44"/>
        <v>0.1338742393509128</v>
      </c>
      <c r="BJ23" s="37" t="s">
        <v>81</v>
      </c>
    </row>
    <row r="24" spans="1:66">
      <c r="A24" s="39" t="s">
        <v>71</v>
      </c>
      <c r="B24" s="39" t="s">
        <v>82</v>
      </c>
      <c r="C24" s="40">
        <v>42</v>
      </c>
      <c r="D24" s="99" t="s">
        <v>83</v>
      </c>
      <c r="E24" s="43">
        <v>33.76</v>
      </c>
      <c r="F24" s="43">
        <v>47.3</v>
      </c>
      <c r="G24" s="43">
        <v>44.6</v>
      </c>
      <c r="H24" s="43">
        <v>44.6</v>
      </c>
      <c r="I24" s="43">
        <v>44.6</v>
      </c>
      <c r="J24" s="43">
        <v>44.6</v>
      </c>
      <c r="K24" s="111">
        <v>44.6</v>
      </c>
      <c r="L24" s="112">
        <v>44.6</v>
      </c>
      <c r="M24" s="119">
        <v>44.6</v>
      </c>
      <c r="N24" s="119">
        <v>44.6</v>
      </c>
      <c r="O24" s="120">
        <v>44.6</v>
      </c>
      <c r="P24" s="120">
        <v>44.6</v>
      </c>
      <c r="Q24" s="120">
        <v>44.6</v>
      </c>
      <c r="R24" s="47">
        <v>30.126000000000001</v>
      </c>
      <c r="S24" s="48">
        <f t="shared" si="23"/>
        <v>0.67547085201793722</v>
      </c>
      <c r="T24" s="47">
        <v>34.042000000000002</v>
      </c>
      <c r="U24" s="48">
        <f t="shared" si="24"/>
        <v>0.76327354260089686</v>
      </c>
      <c r="V24" s="47">
        <v>37.747999999999998</v>
      </c>
      <c r="W24" s="48">
        <f t="shared" si="25"/>
        <v>0.84636771300448421</v>
      </c>
      <c r="X24" s="47">
        <v>40.055999999999997</v>
      </c>
      <c r="Y24" s="48">
        <f t="shared" si="26"/>
        <v>0.898116591928251</v>
      </c>
      <c r="Z24" s="47">
        <v>43.4</v>
      </c>
      <c r="AA24" s="48">
        <f t="shared" si="27"/>
        <v>0.97309417040358737</v>
      </c>
      <c r="AB24" s="47">
        <v>43.57</v>
      </c>
      <c r="AC24" s="48">
        <f t="shared" si="28"/>
        <v>0.97690582959641248</v>
      </c>
      <c r="AD24" s="47">
        <v>42.399000000000001</v>
      </c>
      <c r="AE24" s="48">
        <f t="shared" si="29"/>
        <v>0.95065022421524659</v>
      </c>
      <c r="AF24" s="47">
        <v>41.298000000000002</v>
      </c>
      <c r="AG24" s="48">
        <f t="shared" si="30"/>
        <v>0.92596412556053809</v>
      </c>
      <c r="AH24" s="47">
        <v>40.588000000000001</v>
      </c>
      <c r="AI24" s="48">
        <f t="shared" si="31"/>
        <v>0.91004484304932731</v>
      </c>
      <c r="AJ24" s="47">
        <v>38.21</v>
      </c>
      <c r="AK24" s="48">
        <f t="shared" si="32"/>
        <v>0.85672645739910314</v>
      </c>
      <c r="AL24" s="47">
        <v>35.981999999999999</v>
      </c>
      <c r="AM24" s="48">
        <f t="shared" si="33"/>
        <v>0.80677130044843048</v>
      </c>
      <c r="AN24" s="47">
        <v>32.101999999999997</v>
      </c>
      <c r="AO24" s="48">
        <f t="shared" si="34"/>
        <v>0.71977578475336312</v>
      </c>
      <c r="AP24" s="47">
        <v>30.068000000000001</v>
      </c>
      <c r="AQ24" s="48">
        <f t="shared" si="35"/>
        <v>0.67417040358744396</v>
      </c>
      <c r="AR24" s="47">
        <v>26.684000000000001</v>
      </c>
      <c r="AS24" s="48">
        <f t="shared" si="36"/>
        <v>0.59829596412556052</v>
      </c>
      <c r="AT24" s="47">
        <v>24.92</v>
      </c>
      <c r="AU24" s="48">
        <f t="shared" si="37"/>
        <v>0.55874439461883407</v>
      </c>
      <c r="AV24" s="47">
        <v>22.702000000000002</v>
      </c>
      <c r="AW24" s="48">
        <f t="shared" si="38"/>
        <v>0.50901345291479827</v>
      </c>
      <c r="AX24" s="47">
        <v>21.637</v>
      </c>
      <c r="AY24" s="48">
        <f t="shared" si="39"/>
        <v>0.48513452914798205</v>
      </c>
      <c r="AZ24" s="47">
        <v>20.149999999999999</v>
      </c>
      <c r="BA24" s="48">
        <f t="shared" si="40"/>
        <v>0.45179372197309414</v>
      </c>
      <c r="BB24" s="47">
        <v>19.440000000000001</v>
      </c>
      <c r="BC24" s="48">
        <f t="shared" si="41"/>
        <v>0.43587443946188342</v>
      </c>
      <c r="BD24" s="47">
        <v>18.315000000000001</v>
      </c>
      <c r="BE24" s="48">
        <f t="shared" si="42"/>
        <v>0.41065022421524666</v>
      </c>
      <c r="BF24" s="47">
        <v>17.78</v>
      </c>
      <c r="BG24" s="48">
        <f t="shared" si="43"/>
        <v>0.39865470852017937</v>
      </c>
      <c r="BH24" s="47">
        <v>17.276</v>
      </c>
      <c r="BI24" s="48">
        <f t="shared" si="44"/>
        <v>0.3873542600896861</v>
      </c>
      <c r="BJ24" s="104" t="s">
        <v>84</v>
      </c>
      <c r="BK24" s="122"/>
    </row>
    <row r="25" spans="1:66">
      <c r="A25" s="39" t="s">
        <v>71</v>
      </c>
      <c r="B25" s="39" t="s">
        <v>85</v>
      </c>
      <c r="C25" s="40">
        <v>30</v>
      </c>
      <c r="D25" s="99" t="s">
        <v>77</v>
      </c>
      <c r="E25" s="43">
        <v>4</v>
      </c>
      <c r="F25" s="43">
        <v>4</v>
      </c>
      <c r="G25" s="43">
        <v>4</v>
      </c>
      <c r="H25" s="43">
        <v>4</v>
      </c>
      <c r="I25" s="43">
        <v>4</v>
      </c>
      <c r="J25" s="43">
        <v>4</v>
      </c>
      <c r="K25" s="111">
        <v>4</v>
      </c>
      <c r="L25" s="112">
        <v>4</v>
      </c>
      <c r="M25" s="119">
        <v>4.0999999999999996</v>
      </c>
      <c r="N25" s="119">
        <v>4.0999999999999996</v>
      </c>
      <c r="O25" s="120">
        <v>4.0999999999999996</v>
      </c>
      <c r="P25" s="120">
        <v>4.0999999999999996</v>
      </c>
      <c r="Q25" s="120">
        <v>4.0999999999999996</v>
      </c>
      <c r="R25" s="47">
        <v>3.4279999999999999</v>
      </c>
      <c r="S25" s="48">
        <f t="shared" si="23"/>
        <v>0.83609756097560983</v>
      </c>
      <c r="T25" s="47">
        <v>3.4009999999999998</v>
      </c>
      <c r="U25" s="48">
        <f t="shared" si="24"/>
        <v>0.82951219512195129</v>
      </c>
      <c r="V25" s="47">
        <v>3.1960000000000002</v>
      </c>
      <c r="W25" s="48">
        <f t="shared" si="25"/>
        <v>0.77951219512195136</v>
      </c>
      <c r="X25" s="47">
        <v>3.262</v>
      </c>
      <c r="Y25" s="48">
        <f t="shared" si="26"/>
        <v>0.79560975609756102</v>
      </c>
      <c r="Z25" s="47">
        <v>3.2730000000000001</v>
      </c>
      <c r="AA25" s="48">
        <f t="shared" si="27"/>
        <v>0.79829268292682942</v>
      </c>
      <c r="AB25" s="47">
        <v>3.073</v>
      </c>
      <c r="AC25" s="48">
        <f t="shared" si="28"/>
        <v>0.74951219512195122</v>
      </c>
      <c r="AD25" s="47">
        <v>2.9529999999999998</v>
      </c>
      <c r="AE25" s="48">
        <f t="shared" si="29"/>
        <v>0.72024390243902436</v>
      </c>
      <c r="AF25" s="47">
        <v>2.7679999999999998</v>
      </c>
      <c r="AG25" s="48">
        <f t="shared" si="30"/>
        <v>0.67512195121951224</v>
      </c>
      <c r="AH25" s="47">
        <v>2.7530000000000001</v>
      </c>
      <c r="AI25" s="48">
        <f t="shared" si="31"/>
        <v>0.67146341463414638</v>
      </c>
      <c r="AJ25" s="47">
        <v>2.5569999999999999</v>
      </c>
      <c r="AK25" s="48">
        <f t="shared" si="32"/>
        <v>0.62365853658536585</v>
      </c>
      <c r="AL25" s="47">
        <v>2.286</v>
      </c>
      <c r="AM25" s="48">
        <f t="shared" si="33"/>
        <v>0.55756097560975615</v>
      </c>
      <c r="AN25" s="47">
        <v>1.9770000000000001</v>
      </c>
      <c r="AO25" s="48">
        <f t="shared" si="34"/>
        <v>0.48219512195121955</v>
      </c>
      <c r="AP25" s="47">
        <v>1.623</v>
      </c>
      <c r="AQ25" s="48">
        <f t="shared" si="35"/>
        <v>0.39585365853658538</v>
      </c>
      <c r="AR25" s="47">
        <v>1.417</v>
      </c>
      <c r="AS25" s="48">
        <f t="shared" si="36"/>
        <v>0.34560975609756101</v>
      </c>
      <c r="AT25" s="47">
        <v>1.25</v>
      </c>
      <c r="AU25" s="48">
        <f t="shared" si="37"/>
        <v>0.30487804878048785</v>
      </c>
      <c r="AV25" s="47">
        <v>1.2549999999999999</v>
      </c>
      <c r="AW25" s="48">
        <f t="shared" si="38"/>
        <v>0.30609756097560975</v>
      </c>
      <c r="AX25" s="47">
        <v>1.224</v>
      </c>
      <c r="AY25" s="48">
        <f t="shared" si="39"/>
        <v>0.2985365853658537</v>
      </c>
      <c r="AZ25" s="47">
        <v>1.234</v>
      </c>
      <c r="BA25" s="48">
        <f t="shared" si="40"/>
        <v>0.30097560975609761</v>
      </c>
      <c r="BB25" s="47">
        <v>1.232</v>
      </c>
      <c r="BC25" s="48">
        <f t="shared" si="41"/>
        <v>0.30048780487804883</v>
      </c>
      <c r="BD25" s="47">
        <v>1.0229999999999999</v>
      </c>
      <c r="BE25" s="48">
        <f t="shared" si="42"/>
        <v>0.24951219512195122</v>
      </c>
      <c r="BF25" s="47">
        <v>1.01</v>
      </c>
      <c r="BG25" s="48">
        <f t="shared" si="43"/>
        <v>0.24634146341463417</v>
      </c>
      <c r="BH25" s="47">
        <v>1.081</v>
      </c>
      <c r="BI25" s="48">
        <f t="shared" si="44"/>
        <v>0.26365853658536587</v>
      </c>
      <c r="BJ25" s="121" t="s">
        <v>78</v>
      </c>
    </row>
    <row r="26" spans="1:66">
      <c r="A26" s="39" t="s">
        <v>71</v>
      </c>
      <c r="B26" s="39" t="s">
        <v>86</v>
      </c>
      <c r="C26" s="40">
        <v>11</v>
      </c>
      <c r="D26" s="99" t="s">
        <v>73</v>
      </c>
      <c r="E26" s="43">
        <v>1.87</v>
      </c>
      <c r="F26" s="43">
        <v>1.87</v>
      </c>
      <c r="G26" s="43">
        <v>1.87</v>
      </c>
      <c r="H26" s="43">
        <v>1.87</v>
      </c>
      <c r="I26" s="43">
        <v>1.87</v>
      </c>
      <c r="J26" s="43">
        <v>1.87</v>
      </c>
      <c r="K26" s="111">
        <v>1.87</v>
      </c>
      <c r="L26" s="112">
        <v>1.87</v>
      </c>
      <c r="M26" s="119">
        <v>1.87</v>
      </c>
      <c r="N26" s="119">
        <v>1.87</v>
      </c>
      <c r="O26" s="120">
        <v>1.87</v>
      </c>
      <c r="P26" s="120">
        <v>1.87</v>
      </c>
      <c r="Q26" s="120">
        <v>1.87</v>
      </c>
      <c r="R26" s="123"/>
      <c r="S26" s="124">
        <f t="shared" si="23"/>
        <v>0</v>
      </c>
      <c r="T26" s="47">
        <v>1.87</v>
      </c>
      <c r="U26" s="48">
        <f t="shared" si="24"/>
        <v>1</v>
      </c>
      <c r="V26" s="47">
        <v>1.87</v>
      </c>
      <c r="W26" s="48">
        <f t="shared" si="25"/>
        <v>1</v>
      </c>
      <c r="X26" s="47">
        <v>1.87</v>
      </c>
      <c r="Y26" s="48">
        <f t="shared" si="26"/>
        <v>1</v>
      </c>
      <c r="Z26" s="47">
        <v>1.87</v>
      </c>
      <c r="AA26" s="48">
        <f t="shared" si="27"/>
        <v>1</v>
      </c>
      <c r="AB26" s="47">
        <v>1.85</v>
      </c>
      <c r="AC26" s="48">
        <f t="shared" si="28"/>
        <v>0.98930481283422456</v>
      </c>
      <c r="AD26" s="47">
        <v>1.85</v>
      </c>
      <c r="AE26" s="48">
        <f t="shared" si="29"/>
        <v>0.98930481283422456</v>
      </c>
      <c r="AF26" s="47">
        <v>1.8460000000000001</v>
      </c>
      <c r="AG26" s="48">
        <f t="shared" si="30"/>
        <v>0.98716577540106953</v>
      </c>
      <c r="AH26" s="47">
        <v>1.766</v>
      </c>
      <c r="AI26" s="48">
        <f t="shared" si="31"/>
        <v>0.94438502673796787</v>
      </c>
      <c r="AJ26" s="47">
        <v>1.762</v>
      </c>
      <c r="AK26" s="48">
        <f t="shared" si="32"/>
        <v>0.94224598930481274</v>
      </c>
      <c r="AL26" s="47">
        <v>1.6379999999999999</v>
      </c>
      <c r="AM26" s="48">
        <f t="shared" si="33"/>
        <v>0.87593582887700527</v>
      </c>
      <c r="AN26" s="47">
        <v>1.526</v>
      </c>
      <c r="AO26" s="48">
        <f t="shared" si="34"/>
        <v>0.8160427807486631</v>
      </c>
      <c r="AP26" s="47">
        <v>1.468</v>
      </c>
      <c r="AQ26" s="48">
        <f t="shared" si="35"/>
        <v>0.78502673796791433</v>
      </c>
      <c r="AR26" s="47">
        <v>1.2769999999999999</v>
      </c>
      <c r="AS26" s="48">
        <f t="shared" si="36"/>
        <v>0.68288770053475922</v>
      </c>
      <c r="AT26" s="47">
        <v>1.27</v>
      </c>
      <c r="AU26" s="48">
        <f t="shared" si="37"/>
        <v>0.67914438502673791</v>
      </c>
      <c r="AV26" s="47">
        <v>1.0549999999999999</v>
      </c>
      <c r="AW26" s="48">
        <f t="shared" si="38"/>
        <v>0.56417112299465233</v>
      </c>
      <c r="AX26" s="47">
        <v>1.0229999999999999</v>
      </c>
      <c r="AY26" s="48">
        <f t="shared" si="39"/>
        <v>0.54705882352941171</v>
      </c>
      <c r="AZ26" s="47">
        <v>0.85899999999999999</v>
      </c>
      <c r="BA26" s="48">
        <f t="shared" si="40"/>
        <v>0.45935828877005347</v>
      </c>
      <c r="BB26" s="47">
        <v>0.82</v>
      </c>
      <c r="BC26" s="48">
        <f t="shared" si="41"/>
        <v>0.43850267379679142</v>
      </c>
      <c r="BD26" s="47">
        <v>0.77900000000000003</v>
      </c>
      <c r="BE26" s="48">
        <f t="shared" si="42"/>
        <v>0.41657754010695186</v>
      </c>
      <c r="BF26" s="47">
        <v>0.69699999999999995</v>
      </c>
      <c r="BG26" s="48">
        <f t="shared" si="43"/>
        <v>0.37272727272727268</v>
      </c>
      <c r="BH26" s="47">
        <v>0.71</v>
      </c>
      <c r="BI26" s="48">
        <f t="shared" si="44"/>
        <v>0.3796791443850267</v>
      </c>
      <c r="BJ26" s="37" t="s">
        <v>420</v>
      </c>
    </row>
    <row r="27" spans="1:66">
      <c r="A27" s="39" t="s">
        <v>71</v>
      </c>
      <c r="B27" s="39" t="s">
        <v>87</v>
      </c>
      <c r="C27" s="40">
        <v>24</v>
      </c>
      <c r="D27" s="99" t="s">
        <v>75</v>
      </c>
      <c r="E27" s="43">
        <v>8</v>
      </c>
      <c r="F27" s="43">
        <v>8</v>
      </c>
      <c r="G27" s="43">
        <v>8</v>
      </c>
      <c r="H27" s="43">
        <v>8</v>
      </c>
      <c r="I27" s="43">
        <v>8</v>
      </c>
      <c r="J27" s="43">
        <v>8</v>
      </c>
      <c r="K27" s="111">
        <v>8</v>
      </c>
      <c r="L27" s="112">
        <v>8</v>
      </c>
      <c r="M27" s="119">
        <v>8</v>
      </c>
      <c r="N27" s="119">
        <v>8</v>
      </c>
      <c r="O27" s="120">
        <v>8</v>
      </c>
      <c r="P27" s="120">
        <v>8</v>
      </c>
      <c r="Q27" s="120">
        <v>8</v>
      </c>
      <c r="R27" s="47">
        <v>6.81</v>
      </c>
      <c r="S27" s="48">
        <f t="shared" si="23"/>
        <v>0.85124999999999995</v>
      </c>
      <c r="T27" s="47">
        <v>7.9619999999999997</v>
      </c>
      <c r="U27" s="48">
        <f t="shared" si="24"/>
        <v>0.99524999999999997</v>
      </c>
      <c r="V27" s="47">
        <v>8</v>
      </c>
      <c r="W27" s="48">
        <f t="shared" si="25"/>
        <v>1</v>
      </c>
      <c r="X27" s="47">
        <v>8</v>
      </c>
      <c r="Y27" s="48">
        <f t="shared" si="26"/>
        <v>1</v>
      </c>
      <c r="Z27" s="47">
        <v>8</v>
      </c>
      <c r="AA27" s="48">
        <f t="shared" si="27"/>
        <v>1</v>
      </c>
      <c r="AB27" s="47">
        <v>7.7119999999999997</v>
      </c>
      <c r="AC27" s="48">
        <f t="shared" si="28"/>
        <v>0.96399999999999997</v>
      </c>
      <c r="AD27" s="47">
        <v>7.5650000000000004</v>
      </c>
      <c r="AE27" s="48">
        <f t="shared" si="29"/>
        <v>0.94562500000000005</v>
      </c>
      <c r="AF27" s="47">
        <v>7.5069999999999997</v>
      </c>
      <c r="AG27" s="48">
        <f t="shared" si="30"/>
        <v>0.93837499999999996</v>
      </c>
      <c r="AH27" s="47">
        <v>6.907</v>
      </c>
      <c r="AI27" s="48">
        <f t="shared" si="31"/>
        <v>0.863375</v>
      </c>
      <c r="AJ27" s="47">
        <v>6.4189999999999996</v>
      </c>
      <c r="AK27" s="48">
        <f t="shared" si="32"/>
        <v>0.80237499999999995</v>
      </c>
      <c r="AL27" s="47">
        <v>5.7089999999999996</v>
      </c>
      <c r="AM27" s="48">
        <f t="shared" si="33"/>
        <v>0.71362499999999995</v>
      </c>
      <c r="AN27" s="47">
        <v>4.21</v>
      </c>
      <c r="AO27" s="48">
        <f t="shared" si="34"/>
        <v>0.52625</v>
      </c>
      <c r="AP27" s="47">
        <v>3.5070000000000001</v>
      </c>
      <c r="AQ27" s="48">
        <f t="shared" si="35"/>
        <v>0.43837500000000001</v>
      </c>
      <c r="AR27" s="47">
        <v>2.7240000000000002</v>
      </c>
      <c r="AS27" s="48">
        <f t="shared" si="36"/>
        <v>0.34050000000000002</v>
      </c>
      <c r="AT27" s="47">
        <v>2.5099999999999998</v>
      </c>
      <c r="AU27" s="48">
        <f t="shared" si="37"/>
        <v>0.31374999999999997</v>
      </c>
      <c r="AV27" s="47">
        <v>2.2869999999999999</v>
      </c>
      <c r="AW27" s="48">
        <f t="shared" si="38"/>
        <v>0.28587499999999999</v>
      </c>
      <c r="AX27" s="47">
        <v>1.9279999999999999</v>
      </c>
      <c r="AY27" s="48">
        <f t="shared" si="39"/>
        <v>0.24099999999999999</v>
      </c>
      <c r="AZ27" s="47">
        <v>1.649</v>
      </c>
      <c r="BA27" s="48">
        <f t="shared" si="40"/>
        <v>0.206125</v>
      </c>
      <c r="BB27" s="47">
        <v>1.6140000000000001</v>
      </c>
      <c r="BC27" s="48">
        <f t="shared" si="41"/>
        <v>0.20175000000000001</v>
      </c>
      <c r="BD27" s="47">
        <v>1.573</v>
      </c>
      <c r="BE27" s="48">
        <f t="shared" si="42"/>
        <v>0.19662499999999999</v>
      </c>
      <c r="BF27" s="47">
        <v>1.51</v>
      </c>
      <c r="BG27" s="48">
        <f t="shared" si="43"/>
        <v>0.18875</v>
      </c>
      <c r="BH27" s="47">
        <v>1.452</v>
      </c>
      <c r="BI27" s="48">
        <f t="shared" si="44"/>
        <v>0.18149999999999999</v>
      </c>
      <c r="BJ27" s="37" t="s">
        <v>41</v>
      </c>
    </row>
    <row r="28" spans="1:66">
      <c r="A28" s="39" t="s">
        <v>71</v>
      </c>
      <c r="B28" s="39" t="s">
        <v>88</v>
      </c>
      <c r="C28" s="40">
        <v>12</v>
      </c>
      <c r="D28" s="99" t="s">
        <v>89</v>
      </c>
      <c r="E28" s="43">
        <v>4</v>
      </c>
      <c r="F28" s="43">
        <v>4</v>
      </c>
      <c r="G28" s="43">
        <v>4</v>
      </c>
      <c r="H28" s="43">
        <v>4</v>
      </c>
      <c r="I28" s="43">
        <v>4</v>
      </c>
      <c r="J28" s="43">
        <v>4</v>
      </c>
      <c r="K28" s="111">
        <v>4</v>
      </c>
      <c r="L28" s="112">
        <v>4</v>
      </c>
      <c r="M28" s="119">
        <v>4</v>
      </c>
      <c r="N28" s="119">
        <v>4</v>
      </c>
      <c r="O28" s="120">
        <v>4</v>
      </c>
      <c r="P28" s="120">
        <v>4</v>
      </c>
      <c r="Q28" s="120">
        <v>4</v>
      </c>
      <c r="R28" s="47">
        <v>2.71</v>
      </c>
      <c r="S28" s="48">
        <f t="shared" si="23"/>
        <v>0.67749999999999999</v>
      </c>
      <c r="T28" s="47">
        <v>3.83</v>
      </c>
      <c r="U28" s="48">
        <f t="shared" si="24"/>
        <v>0.95750000000000002</v>
      </c>
      <c r="V28" s="47">
        <v>4</v>
      </c>
      <c r="W28" s="48">
        <f t="shared" si="25"/>
        <v>1</v>
      </c>
      <c r="X28" s="47">
        <v>4.04</v>
      </c>
      <c r="Y28" s="48">
        <f t="shared" si="26"/>
        <v>1.01</v>
      </c>
      <c r="Z28" s="47">
        <v>4.04</v>
      </c>
      <c r="AA28" s="48">
        <f t="shared" si="27"/>
        <v>1.01</v>
      </c>
      <c r="AB28" s="47">
        <v>4</v>
      </c>
      <c r="AC28" s="48">
        <f t="shared" si="28"/>
        <v>1</v>
      </c>
      <c r="AD28" s="47">
        <v>3.9449999999999998</v>
      </c>
      <c r="AE28" s="48">
        <f t="shared" si="29"/>
        <v>0.98624999999999996</v>
      </c>
      <c r="AF28" s="47">
        <v>3.67</v>
      </c>
      <c r="AG28" s="48">
        <f t="shared" si="30"/>
        <v>0.91749999999999998</v>
      </c>
      <c r="AH28" s="47">
        <v>3.55</v>
      </c>
      <c r="AI28" s="48">
        <f t="shared" si="31"/>
        <v>0.88749999999999996</v>
      </c>
      <c r="AJ28" s="47">
        <v>3.32</v>
      </c>
      <c r="AK28" s="48">
        <f t="shared" si="32"/>
        <v>0.83</v>
      </c>
      <c r="AL28" s="47">
        <v>3</v>
      </c>
      <c r="AM28" s="48">
        <f t="shared" si="33"/>
        <v>0.75</v>
      </c>
      <c r="AN28" s="47">
        <v>2.35</v>
      </c>
      <c r="AO28" s="48">
        <f t="shared" si="34"/>
        <v>0.58750000000000002</v>
      </c>
      <c r="AP28" s="47">
        <v>2.02</v>
      </c>
      <c r="AQ28" s="48">
        <f t="shared" si="35"/>
        <v>0.505</v>
      </c>
      <c r="AR28" s="47">
        <v>1.58</v>
      </c>
      <c r="AS28" s="48">
        <f t="shared" si="36"/>
        <v>0.39500000000000002</v>
      </c>
      <c r="AT28" s="47">
        <v>1.44</v>
      </c>
      <c r="AU28" s="48">
        <f t="shared" si="37"/>
        <v>0.36</v>
      </c>
      <c r="AV28" s="47">
        <v>1.3</v>
      </c>
      <c r="AW28" s="48">
        <f t="shared" si="38"/>
        <v>0.32500000000000001</v>
      </c>
      <c r="AX28" s="47">
        <v>1.24</v>
      </c>
      <c r="AY28" s="48">
        <f t="shared" si="39"/>
        <v>0.31</v>
      </c>
      <c r="AZ28" s="47">
        <v>1.17</v>
      </c>
      <c r="BA28" s="48">
        <f t="shared" si="40"/>
        <v>0.29249999999999998</v>
      </c>
      <c r="BB28" s="47">
        <v>1.1399999999999999</v>
      </c>
      <c r="BC28" s="48">
        <f t="shared" si="41"/>
        <v>0.28499999999999998</v>
      </c>
      <c r="BD28" s="47">
        <v>1.06</v>
      </c>
      <c r="BE28" s="48">
        <f t="shared" si="42"/>
        <v>0.26500000000000001</v>
      </c>
      <c r="BF28" s="47">
        <v>1.03</v>
      </c>
      <c r="BG28" s="48">
        <f t="shared" si="43"/>
        <v>0.25750000000000001</v>
      </c>
      <c r="BH28" s="47">
        <v>1.0249999999999999</v>
      </c>
      <c r="BI28" s="48">
        <f t="shared" si="44"/>
        <v>0.25624999999999998</v>
      </c>
      <c r="BJ28" s="37" t="s">
        <v>90</v>
      </c>
      <c r="BK28" s="125"/>
    </row>
    <row r="29" spans="1:66">
      <c r="A29" s="39" t="s">
        <v>71</v>
      </c>
      <c r="B29" s="39" t="s">
        <v>91</v>
      </c>
      <c r="C29" s="40">
        <v>38</v>
      </c>
      <c r="D29" s="99" t="s">
        <v>92</v>
      </c>
      <c r="E29" s="43">
        <v>60</v>
      </c>
      <c r="F29" s="43">
        <v>60</v>
      </c>
      <c r="G29" s="43">
        <v>60</v>
      </c>
      <c r="H29" s="43">
        <v>60</v>
      </c>
      <c r="I29" s="43">
        <v>60</v>
      </c>
      <c r="J29" s="43">
        <v>60</v>
      </c>
      <c r="K29" s="111">
        <v>60</v>
      </c>
      <c r="L29" s="112">
        <v>60</v>
      </c>
      <c r="M29" s="119">
        <v>60</v>
      </c>
      <c r="N29" s="119">
        <v>60</v>
      </c>
      <c r="O29" s="120">
        <v>60.57</v>
      </c>
      <c r="P29" s="120">
        <v>60.57</v>
      </c>
      <c r="Q29" s="120">
        <v>60.57</v>
      </c>
      <c r="R29" s="126">
        <v>29.2</v>
      </c>
      <c r="S29" s="48">
        <f t="shared" si="23"/>
        <v>0.48208684167079413</v>
      </c>
      <c r="T29" s="126">
        <v>41.42</v>
      </c>
      <c r="U29" s="48">
        <f t="shared" si="24"/>
        <v>0.6838368829453525</v>
      </c>
      <c r="V29" s="126">
        <v>43.54</v>
      </c>
      <c r="W29" s="48">
        <f t="shared" si="25"/>
        <v>0.71883770843651973</v>
      </c>
      <c r="X29" s="126">
        <v>48.33</v>
      </c>
      <c r="Y29" s="48">
        <f t="shared" si="26"/>
        <v>0.79791976225854377</v>
      </c>
      <c r="Z29" s="126">
        <v>53.53</v>
      </c>
      <c r="AA29" s="48">
        <f t="shared" si="27"/>
        <v>0.88377084365197289</v>
      </c>
      <c r="AB29" s="126">
        <v>57.58</v>
      </c>
      <c r="AC29" s="48">
        <f t="shared" si="28"/>
        <v>0.95063562819877823</v>
      </c>
      <c r="AD29" s="126">
        <v>57.35</v>
      </c>
      <c r="AE29" s="48">
        <f t="shared" si="29"/>
        <v>0.94683836882945349</v>
      </c>
      <c r="AF29" s="126">
        <v>55.55</v>
      </c>
      <c r="AG29" s="48">
        <f t="shared" si="30"/>
        <v>0.91712068680865111</v>
      </c>
      <c r="AH29" s="126">
        <v>53.11</v>
      </c>
      <c r="AI29" s="48">
        <f t="shared" si="31"/>
        <v>0.87683671784711903</v>
      </c>
      <c r="AJ29" s="126">
        <v>48.77</v>
      </c>
      <c r="AK29" s="48">
        <f t="shared" si="32"/>
        <v>0.80518408453029555</v>
      </c>
      <c r="AL29" s="126">
        <v>40.880000000000003</v>
      </c>
      <c r="AM29" s="48">
        <f t="shared" si="33"/>
        <v>0.67492157833911182</v>
      </c>
      <c r="AN29" s="126">
        <v>32.479999999999997</v>
      </c>
      <c r="AO29" s="48">
        <f t="shared" si="34"/>
        <v>0.53623906224203399</v>
      </c>
      <c r="AP29" s="126">
        <v>26.29</v>
      </c>
      <c r="AQ29" s="48">
        <f t="shared" si="35"/>
        <v>0.43404325573716357</v>
      </c>
      <c r="AR29" s="126">
        <v>21.1</v>
      </c>
      <c r="AS29" s="48">
        <f t="shared" si="36"/>
        <v>0.34835727257718346</v>
      </c>
      <c r="AT29" s="126">
        <v>17.55</v>
      </c>
      <c r="AU29" s="48">
        <f t="shared" si="37"/>
        <v>0.28974739970282321</v>
      </c>
      <c r="AV29" s="126">
        <v>16.21</v>
      </c>
      <c r="AW29" s="48">
        <f t="shared" si="38"/>
        <v>0.26762423642067029</v>
      </c>
      <c r="AX29" s="126">
        <v>14.69</v>
      </c>
      <c r="AY29" s="48">
        <f t="shared" si="39"/>
        <v>0.24252930493643718</v>
      </c>
      <c r="AZ29" s="126">
        <v>13.24</v>
      </c>
      <c r="BA29" s="48">
        <f t="shared" si="40"/>
        <v>0.21859006108634638</v>
      </c>
      <c r="BB29" s="126">
        <v>12.31</v>
      </c>
      <c r="BC29" s="48">
        <f t="shared" si="41"/>
        <v>0.20323592537559848</v>
      </c>
      <c r="BD29" s="126">
        <v>10.79</v>
      </c>
      <c r="BE29" s="48">
        <f t="shared" si="42"/>
        <v>0.17814099389136534</v>
      </c>
      <c r="BF29" s="126">
        <v>8.98</v>
      </c>
      <c r="BG29" s="48">
        <f t="shared" si="43"/>
        <v>0.14825821363711408</v>
      </c>
      <c r="BH29" s="126">
        <v>10.56</v>
      </c>
      <c r="BI29" s="48">
        <f t="shared" si="44"/>
        <v>0.17434373452204063</v>
      </c>
      <c r="BJ29" s="104" t="s">
        <v>93</v>
      </c>
    </row>
    <row r="30" spans="1:66">
      <c r="A30" s="39" t="s">
        <v>71</v>
      </c>
      <c r="B30" s="39" t="s">
        <v>94</v>
      </c>
      <c r="C30" s="40">
        <v>34</v>
      </c>
      <c r="D30" s="99" t="s">
        <v>77</v>
      </c>
      <c r="E30" s="43">
        <v>2.11</v>
      </c>
      <c r="F30" s="43">
        <v>2.11</v>
      </c>
      <c r="G30" s="43">
        <v>2.11</v>
      </c>
      <c r="H30" s="43">
        <v>2.11</v>
      </c>
      <c r="I30" s="43">
        <v>2.11</v>
      </c>
      <c r="J30" s="43">
        <v>2.11</v>
      </c>
      <c r="K30" s="111">
        <v>2.11</v>
      </c>
      <c r="L30" s="112">
        <v>2.11</v>
      </c>
      <c r="M30" s="119">
        <v>2.1</v>
      </c>
      <c r="N30" s="119">
        <v>2.1</v>
      </c>
      <c r="O30" s="120">
        <v>2.1</v>
      </c>
      <c r="P30" s="120">
        <v>2.1</v>
      </c>
      <c r="Q30" s="120">
        <v>2.1</v>
      </c>
      <c r="R30" s="47">
        <v>1.827</v>
      </c>
      <c r="S30" s="48">
        <f t="shared" si="23"/>
        <v>0.87</v>
      </c>
      <c r="T30" s="47">
        <v>1.4039999999999999</v>
      </c>
      <c r="U30" s="48">
        <f t="shared" si="24"/>
        <v>0.66857142857142848</v>
      </c>
      <c r="V30" s="47">
        <v>1.417</v>
      </c>
      <c r="W30" s="48">
        <f t="shared" si="25"/>
        <v>0.67476190476190478</v>
      </c>
      <c r="X30" s="47">
        <v>1.446</v>
      </c>
      <c r="Y30" s="48">
        <f t="shared" si="26"/>
        <v>0.6885714285714285</v>
      </c>
      <c r="Z30" s="47">
        <v>1.4219999999999999</v>
      </c>
      <c r="AA30" s="48">
        <f t="shared" si="27"/>
        <v>0.67714285714285705</v>
      </c>
      <c r="AB30" s="47">
        <v>1.3480000000000001</v>
      </c>
      <c r="AC30" s="48">
        <f t="shared" si="28"/>
        <v>0.64190476190476187</v>
      </c>
      <c r="AD30" s="47">
        <v>1.2709999999999999</v>
      </c>
      <c r="AE30" s="48">
        <f t="shared" si="29"/>
        <v>0.60523809523809513</v>
      </c>
      <c r="AF30" s="47">
        <v>1.1759999999999999</v>
      </c>
      <c r="AG30" s="48">
        <f t="shared" si="30"/>
        <v>0.55999999999999994</v>
      </c>
      <c r="AH30" s="47">
        <v>1.0860000000000001</v>
      </c>
      <c r="AI30" s="48">
        <f t="shared" si="31"/>
        <v>0.51714285714285713</v>
      </c>
      <c r="AJ30" s="47">
        <v>0.97699999999999998</v>
      </c>
      <c r="AK30" s="48">
        <f t="shared" si="32"/>
        <v>0.46523809523809523</v>
      </c>
      <c r="AL30" s="47">
        <v>0.84099999999999997</v>
      </c>
      <c r="AM30" s="48">
        <f t="shared" si="33"/>
        <v>0.40047619047619043</v>
      </c>
      <c r="AN30" s="47">
        <v>0.64500000000000002</v>
      </c>
      <c r="AO30" s="48">
        <f t="shared" si="34"/>
        <v>0.30714285714285716</v>
      </c>
      <c r="AP30" s="47">
        <v>0.49099999999999999</v>
      </c>
      <c r="AQ30" s="48">
        <f t="shared" si="35"/>
        <v>0.2338095238095238</v>
      </c>
      <c r="AR30" s="47">
        <v>0.33600000000000002</v>
      </c>
      <c r="AS30" s="48">
        <f t="shared" si="36"/>
        <v>0.16</v>
      </c>
      <c r="AT30" s="47">
        <v>0.3</v>
      </c>
      <c r="AU30" s="48">
        <f t="shared" si="37"/>
        <v>0.14285714285714285</v>
      </c>
      <c r="AV30" s="47">
        <v>0.17899999999999999</v>
      </c>
      <c r="AW30" s="48">
        <f t="shared" si="38"/>
        <v>8.5238095238095238E-2</v>
      </c>
      <c r="AX30" s="47">
        <v>0.104</v>
      </c>
      <c r="AY30" s="48">
        <f t="shared" si="39"/>
        <v>4.9523809523809519E-2</v>
      </c>
      <c r="AZ30" s="47">
        <v>0.26300000000000001</v>
      </c>
      <c r="BA30" s="48">
        <f t="shared" si="40"/>
        <v>0.12523809523809523</v>
      </c>
      <c r="BB30" s="47">
        <v>0.26400000000000001</v>
      </c>
      <c r="BC30" s="48">
        <f t="shared" si="41"/>
        <v>0.12571428571428572</v>
      </c>
      <c r="BD30" s="47">
        <v>0.23699999999999999</v>
      </c>
      <c r="BE30" s="48">
        <f t="shared" si="42"/>
        <v>0.11285714285714285</v>
      </c>
      <c r="BF30" s="47">
        <v>0.24</v>
      </c>
      <c r="BG30" s="48">
        <f t="shared" si="43"/>
        <v>0.11428571428571428</v>
      </c>
      <c r="BH30" s="47">
        <v>0.224</v>
      </c>
      <c r="BI30" s="48">
        <f t="shared" si="44"/>
        <v>0.10666666666666666</v>
      </c>
      <c r="BJ30" s="127" t="s">
        <v>78</v>
      </c>
    </row>
    <row r="31" spans="1:66" s="74" customFormat="1" ht="13.5" customHeight="1">
      <c r="A31" s="435" t="s">
        <v>95</v>
      </c>
      <c r="B31" s="435"/>
      <c r="C31" s="1"/>
      <c r="D31" s="128"/>
      <c r="E31" s="66">
        <f t="shared" ref="E31:O31" si="45">SUM(E20:E30)</f>
        <v>125.77</v>
      </c>
      <c r="F31" s="129">
        <f t="shared" si="45"/>
        <v>139.31</v>
      </c>
      <c r="G31" s="129">
        <f t="shared" si="45"/>
        <v>136.61000000000001</v>
      </c>
      <c r="H31" s="129">
        <f t="shared" si="45"/>
        <v>136.61000000000001</v>
      </c>
      <c r="I31" s="129">
        <f t="shared" si="45"/>
        <v>136.61000000000001</v>
      </c>
      <c r="J31" s="129">
        <f t="shared" si="45"/>
        <v>136.61000000000001</v>
      </c>
      <c r="K31" s="129">
        <f t="shared" si="45"/>
        <v>136.61000000000001</v>
      </c>
      <c r="L31" s="130">
        <f t="shared" si="45"/>
        <v>136.61000000000001</v>
      </c>
      <c r="M31" s="131">
        <f t="shared" si="45"/>
        <v>137.15</v>
      </c>
      <c r="N31" s="131">
        <f t="shared" si="45"/>
        <v>137.10999999999999</v>
      </c>
      <c r="O31" s="132">
        <f t="shared" si="45"/>
        <v>137.67999999999998</v>
      </c>
      <c r="P31" s="132">
        <v>137.68</v>
      </c>
      <c r="Q31" s="132">
        <f>SUM(Q20:Q30)</f>
        <v>137.67999999999998</v>
      </c>
      <c r="R31" s="70">
        <v>81.796999999999997</v>
      </c>
      <c r="S31" s="71">
        <f>R31/($Q31)</f>
        <v>0.59410952934340511</v>
      </c>
      <c r="T31" s="70">
        <v>103.834</v>
      </c>
      <c r="U31" s="71">
        <f>T31/($Q31)</f>
        <v>0.75416908773968638</v>
      </c>
      <c r="V31" s="70">
        <v>109.80500000000001</v>
      </c>
      <c r="W31" s="71">
        <f>V31/($Q31)</f>
        <v>0.79753776873910531</v>
      </c>
      <c r="X31" s="70">
        <v>117.334</v>
      </c>
      <c r="Y31" s="71">
        <f>X31/($Q31)</f>
        <v>0.85222254503195827</v>
      </c>
      <c r="Z31" s="70">
        <v>126.005</v>
      </c>
      <c r="AA31" s="71">
        <f>Z31/($Q31)</f>
        <v>0.9152019174898316</v>
      </c>
      <c r="AB31" s="70">
        <v>129.56700000000001</v>
      </c>
      <c r="AC31" s="71">
        <f>AB31/($Q31)</f>
        <v>0.94107350377687415</v>
      </c>
      <c r="AD31" s="70">
        <v>127.736</v>
      </c>
      <c r="AE31" s="71">
        <f>AD31/($Q31)</f>
        <v>0.9277745496804185</v>
      </c>
      <c r="AF31" s="70">
        <v>124.071</v>
      </c>
      <c r="AG31" s="71">
        <f>AF31/($Q31)</f>
        <v>0.90115485183033128</v>
      </c>
      <c r="AH31" s="70">
        <v>119.77800000000001</v>
      </c>
      <c r="AI31" s="71">
        <f>AH31/($Q31)</f>
        <v>0.86997385241138891</v>
      </c>
      <c r="AJ31" s="70">
        <v>111.715</v>
      </c>
      <c r="AK31" s="71">
        <f>AJ31/($Q31)</f>
        <v>0.81141051714119716</v>
      </c>
      <c r="AL31" s="70">
        <v>99.215999999999994</v>
      </c>
      <c r="AM31" s="71">
        <f>AL31/($Q31)</f>
        <v>0.72062754212667057</v>
      </c>
      <c r="AN31" s="70">
        <v>82.944999999999993</v>
      </c>
      <c r="AO31" s="71">
        <f>AN31/($Q31-Q22)</f>
        <v>0.61177902345478685</v>
      </c>
      <c r="AP31" s="70">
        <v>72.617000000000004</v>
      </c>
      <c r="AQ31" s="71">
        <f>AP31/($Q31-Q22)</f>
        <v>0.53560259625313478</v>
      </c>
      <c r="AR31" s="70">
        <v>60.985999999999997</v>
      </c>
      <c r="AS31" s="71">
        <f>AR31/($Q31)</f>
        <v>0.44295467751307382</v>
      </c>
      <c r="AT31" s="70">
        <v>54.72</v>
      </c>
      <c r="AU31" s="71">
        <f>AT31/($Q31)</f>
        <v>0.39744334689134231</v>
      </c>
      <c r="AV31" s="70">
        <v>50.098999999999997</v>
      </c>
      <c r="AW31" s="71">
        <f>AV31/($Q31)</f>
        <v>0.36388001162115052</v>
      </c>
      <c r="AX31" s="70">
        <v>46.482999999999997</v>
      </c>
      <c r="AY31" s="71">
        <f>AX31/($Q31)</f>
        <v>0.33761621150493903</v>
      </c>
      <c r="AZ31" s="70">
        <v>42.837000000000003</v>
      </c>
      <c r="BA31" s="71">
        <f>AZ31/($Q31)</f>
        <v>0.31113451481696697</v>
      </c>
      <c r="BB31" s="70">
        <v>40.859000000000002</v>
      </c>
      <c r="BC31" s="71">
        <f>BB31/($Q31)</f>
        <v>0.29676786751888445</v>
      </c>
      <c r="BD31" s="70">
        <v>37.433</v>
      </c>
      <c r="BE31" s="71">
        <f>BD31/($Q31)</f>
        <v>0.27188407902382339</v>
      </c>
      <c r="BF31" s="70">
        <f>SUM(BF20:BF30)</f>
        <v>34.457000000000008</v>
      </c>
      <c r="BG31" s="71">
        <f>BF31/($Q31)</f>
        <v>0.2502687391051715</v>
      </c>
      <c r="BH31" s="70">
        <f>SUM(BH20:BH30)</f>
        <v>35.550999999999995</v>
      </c>
      <c r="BI31" s="71">
        <f>BH31/($Q31)</f>
        <v>0.25821470075537478</v>
      </c>
      <c r="BJ31" s="72"/>
      <c r="BK31" s="73"/>
    </row>
    <row r="32" spans="1:66" ht="7.5" customHeight="1">
      <c r="A32" s="105"/>
      <c r="B32" s="105"/>
      <c r="C32" s="106"/>
      <c r="D32" s="107"/>
      <c r="E32" s="97"/>
      <c r="F32" s="97"/>
      <c r="G32" s="97"/>
      <c r="H32" s="97"/>
      <c r="I32" s="97"/>
      <c r="J32" s="97"/>
      <c r="K32" s="97"/>
      <c r="L32" s="108"/>
      <c r="M32" s="133"/>
      <c r="N32" s="133"/>
      <c r="O32" s="134"/>
      <c r="P32" s="134"/>
      <c r="Q32" s="134"/>
      <c r="R32" s="81"/>
      <c r="S32" s="82"/>
      <c r="T32" s="81"/>
      <c r="U32" s="82"/>
      <c r="V32" s="81"/>
      <c r="W32" s="82"/>
      <c r="X32" s="81"/>
      <c r="Y32" s="82"/>
      <c r="Z32" s="81"/>
      <c r="AA32" s="82"/>
      <c r="AB32" s="81"/>
      <c r="AC32" s="82"/>
      <c r="AD32" s="81"/>
      <c r="AE32" s="82"/>
      <c r="AF32" s="81"/>
      <c r="AG32" s="82"/>
      <c r="AH32" s="81"/>
      <c r="AI32" s="82"/>
      <c r="AJ32" s="81"/>
      <c r="AK32" s="82"/>
      <c r="AL32" s="81"/>
      <c r="AM32" s="82"/>
      <c r="AN32" s="81"/>
      <c r="AO32" s="82"/>
      <c r="AP32" s="81"/>
      <c r="AQ32" s="82"/>
      <c r="AR32" s="81"/>
      <c r="AS32" s="82"/>
      <c r="AT32" s="81"/>
      <c r="AU32" s="82"/>
      <c r="AV32" s="81"/>
      <c r="AW32" s="82"/>
      <c r="AX32" s="81"/>
      <c r="AY32" s="82"/>
      <c r="AZ32" s="81"/>
      <c r="BA32" s="82"/>
      <c r="BB32" s="81"/>
      <c r="BC32" s="82"/>
      <c r="BD32" s="81"/>
      <c r="BE32" s="82"/>
      <c r="BF32" s="81"/>
      <c r="BG32" s="82"/>
      <c r="BH32" s="81"/>
      <c r="BI32" s="82"/>
      <c r="BJ32" s="83"/>
    </row>
    <row r="33" spans="1:63">
      <c r="A33" s="39" t="s">
        <v>96</v>
      </c>
      <c r="B33" s="39" t="s">
        <v>97</v>
      </c>
      <c r="C33" s="40">
        <v>28</v>
      </c>
      <c r="D33" s="99" t="s">
        <v>98</v>
      </c>
      <c r="E33" s="43">
        <v>10</v>
      </c>
      <c r="F33" s="43">
        <v>10</v>
      </c>
      <c r="G33" s="43">
        <v>10</v>
      </c>
      <c r="H33" s="43">
        <v>10</v>
      </c>
      <c r="I33" s="43">
        <v>10</v>
      </c>
      <c r="J33" s="43">
        <v>10</v>
      </c>
      <c r="K33" s="43">
        <v>10</v>
      </c>
      <c r="L33" s="44">
        <v>10</v>
      </c>
      <c r="M33" s="45">
        <v>10</v>
      </c>
      <c r="N33" s="45">
        <v>10</v>
      </c>
      <c r="O33" s="46">
        <v>10</v>
      </c>
      <c r="P33" s="46">
        <v>10</v>
      </c>
      <c r="Q33" s="46">
        <v>10</v>
      </c>
      <c r="R33" s="117">
        <v>8.3309999999999995</v>
      </c>
      <c r="S33" s="118">
        <f t="shared" ref="S33:S43" si="46">R33/$Q33</f>
        <v>0.83309999999999995</v>
      </c>
      <c r="T33" s="117">
        <v>10</v>
      </c>
      <c r="U33" s="118">
        <f t="shared" ref="U33:U43" si="47">T33/$Q33</f>
        <v>1</v>
      </c>
      <c r="V33" s="117">
        <v>10</v>
      </c>
      <c r="W33" s="118">
        <f t="shared" ref="W33:W43" si="48">V33/$Q33</f>
        <v>1</v>
      </c>
      <c r="X33" s="117">
        <v>10</v>
      </c>
      <c r="Y33" s="118">
        <f t="shared" ref="Y33:Y43" si="49">X33/$Q33</f>
        <v>1</v>
      </c>
      <c r="Z33" s="117">
        <v>10</v>
      </c>
      <c r="AA33" s="118">
        <f t="shared" ref="AA33:AA43" si="50">Z33/$Q33</f>
        <v>1</v>
      </c>
      <c r="AB33" s="117">
        <v>9.8149999999999995</v>
      </c>
      <c r="AC33" s="118">
        <f t="shared" ref="AC33:AC43" si="51">AB33/$Q33</f>
        <v>0.98149999999999993</v>
      </c>
      <c r="AD33" s="117">
        <v>9.5839999999999996</v>
      </c>
      <c r="AE33" s="118">
        <f t="shared" ref="AE33:AE43" si="52">AD33/$Q33</f>
        <v>0.95839999999999992</v>
      </c>
      <c r="AF33" s="117">
        <v>9.2799999999999994</v>
      </c>
      <c r="AG33" s="118">
        <f t="shared" ref="AG33:AG43" si="53">AF33/$Q33</f>
        <v>0.92799999999999994</v>
      </c>
      <c r="AH33" s="117">
        <v>8.109</v>
      </c>
      <c r="AI33" s="118">
        <f t="shared" ref="AI33:AI43" si="54">AH33/$Q33</f>
        <v>0.81089999999999995</v>
      </c>
      <c r="AJ33" s="117">
        <v>7.1970000000000001</v>
      </c>
      <c r="AK33" s="118">
        <f t="shared" ref="AK33:AK43" si="55">AJ33/$Q33</f>
        <v>0.71970000000000001</v>
      </c>
      <c r="AL33" s="117">
        <v>6.2080000000000002</v>
      </c>
      <c r="AM33" s="118">
        <f t="shared" ref="AM33:AM43" si="56">AL33/$Q33</f>
        <v>0.62080000000000002</v>
      </c>
      <c r="AN33" s="117">
        <v>4.32</v>
      </c>
      <c r="AO33" s="118">
        <f t="shared" ref="AO33:AO43" si="57">AN33/$Q33</f>
        <v>0.43200000000000005</v>
      </c>
      <c r="AP33" s="117">
        <v>3.4990000000000001</v>
      </c>
      <c r="AQ33" s="118">
        <f t="shared" ref="AQ33:AQ43" si="58">AP33/$Q33</f>
        <v>0.34989999999999999</v>
      </c>
      <c r="AR33" s="117">
        <v>2.3090000000000002</v>
      </c>
      <c r="AS33" s="118">
        <f t="shared" ref="AS33:AS43" si="59">AR33/$Q33</f>
        <v>0.23090000000000002</v>
      </c>
      <c r="AT33" s="117">
        <v>2.08</v>
      </c>
      <c r="AU33" s="118">
        <f t="shared" ref="AU33:AU43" si="60">AT33/$Q33</f>
        <v>0.20800000000000002</v>
      </c>
      <c r="AV33" s="117">
        <v>2.0579999999999998</v>
      </c>
      <c r="AW33" s="118">
        <f t="shared" ref="AW33:AW43" si="61">AV33/$Q33</f>
        <v>0.20579999999999998</v>
      </c>
      <c r="AX33" s="117">
        <v>1.7270000000000001</v>
      </c>
      <c r="AY33" s="118">
        <f t="shared" ref="AY33:AY43" si="62">AX33/$Q33</f>
        <v>0.17270000000000002</v>
      </c>
      <c r="AZ33" s="117">
        <v>1.415</v>
      </c>
      <c r="BA33" s="118">
        <f t="shared" ref="BA33:BA43" si="63">AZ33/$Q33</f>
        <v>0.14150000000000001</v>
      </c>
      <c r="BB33" s="117">
        <v>1.3380000000000001</v>
      </c>
      <c r="BC33" s="118">
        <f t="shared" ref="BC33:BC43" si="64">BB33/$Q33</f>
        <v>0.1338</v>
      </c>
      <c r="BD33" s="117">
        <v>1.1659999999999999</v>
      </c>
      <c r="BE33" s="118">
        <f t="shared" ref="BE33:BE43" si="65">BD33/$Q33</f>
        <v>0.1166</v>
      </c>
      <c r="BF33" s="117">
        <v>1.04</v>
      </c>
      <c r="BG33" s="118">
        <f t="shared" ref="BG33:BG43" si="66">BF33/$Q33</f>
        <v>0.10400000000000001</v>
      </c>
      <c r="BH33" s="117">
        <v>1.3220000000000001</v>
      </c>
      <c r="BI33" s="118">
        <f t="shared" ref="BI33:BI43" si="67">BH33/$Q33</f>
        <v>0.13220000000000001</v>
      </c>
      <c r="BJ33" s="37" t="s">
        <v>41</v>
      </c>
    </row>
    <row r="34" spans="1:63">
      <c r="A34" s="39" t="s">
        <v>96</v>
      </c>
      <c r="B34" s="39" t="s">
        <v>99</v>
      </c>
      <c r="C34" s="40">
        <v>43</v>
      </c>
      <c r="D34" s="99" t="s">
        <v>100</v>
      </c>
      <c r="E34" s="43">
        <v>2.2999999999999998</v>
      </c>
      <c r="F34" s="43">
        <v>2.2999999999999998</v>
      </c>
      <c r="G34" s="43">
        <v>2.2999999999999998</v>
      </c>
      <c r="H34" s="43">
        <v>2.2999999999999998</v>
      </c>
      <c r="I34" s="43">
        <v>2.2999999999999998</v>
      </c>
      <c r="J34" s="43">
        <v>2.2999999999999998</v>
      </c>
      <c r="K34" s="43">
        <v>2.2999999999999998</v>
      </c>
      <c r="L34" s="44">
        <v>2.2999999999999998</v>
      </c>
      <c r="M34" s="45">
        <v>2.2999999999999998</v>
      </c>
      <c r="N34" s="45">
        <v>2.2999999999999998</v>
      </c>
      <c r="O34" s="46">
        <v>2.2999999999999998</v>
      </c>
      <c r="P34" s="46">
        <v>2.2999999999999998</v>
      </c>
      <c r="Q34" s="46">
        <v>2.2999999999999998</v>
      </c>
      <c r="R34" s="47">
        <v>2.2999999999999998</v>
      </c>
      <c r="S34" s="48">
        <f t="shared" si="46"/>
        <v>1</v>
      </c>
      <c r="T34" s="47">
        <v>2.2999999999999998</v>
      </c>
      <c r="U34" s="48">
        <f t="shared" si="47"/>
        <v>1</v>
      </c>
      <c r="V34" s="47">
        <v>2.2999999999999998</v>
      </c>
      <c r="W34" s="48">
        <f t="shared" si="48"/>
        <v>1</v>
      </c>
      <c r="X34" s="47">
        <v>2.2999999999999998</v>
      </c>
      <c r="Y34" s="48">
        <f t="shared" si="49"/>
        <v>1</v>
      </c>
      <c r="Z34" s="47">
        <v>2.2999999999999998</v>
      </c>
      <c r="AA34" s="48">
        <f t="shared" si="50"/>
        <v>1</v>
      </c>
      <c r="AB34" s="47">
        <v>2.278</v>
      </c>
      <c r="AC34" s="48">
        <f t="shared" si="51"/>
        <v>0.99043478260869577</v>
      </c>
      <c r="AD34" s="47">
        <v>2.2280000000000002</v>
      </c>
      <c r="AE34" s="48">
        <f t="shared" si="52"/>
        <v>0.96869565217391318</v>
      </c>
      <c r="AF34" s="47">
        <v>2.17</v>
      </c>
      <c r="AG34" s="48">
        <f t="shared" si="53"/>
        <v>0.94347826086956521</v>
      </c>
      <c r="AH34" s="47">
        <v>2.032</v>
      </c>
      <c r="AI34" s="48">
        <f t="shared" si="54"/>
        <v>0.88347826086956527</v>
      </c>
      <c r="AJ34" s="47">
        <v>1.8540000000000001</v>
      </c>
      <c r="AK34" s="48">
        <f t="shared" si="55"/>
        <v>0.80608695652173923</v>
      </c>
      <c r="AL34" s="47">
        <v>1.6319999999999999</v>
      </c>
      <c r="AM34" s="48">
        <f t="shared" si="56"/>
        <v>0.7095652173913044</v>
      </c>
      <c r="AN34" s="47">
        <v>1.1579999999999999</v>
      </c>
      <c r="AO34" s="48">
        <f t="shared" si="57"/>
        <v>0.50347826086956526</v>
      </c>
      <c r="AP34" s="47">
        <v>0.97899999999999998</v>
      </c>
      <c r="AQ34" s="48">
        <f t="shared" si="58"/>
        <v>0.4256521739130435</v>
      </c>
      <c r="AR34" s="47">
        <v>0.72099999999999997</v>
      </c>
      <c r="AS34" s="48">
        <f t="shared" si="59"/>
        <v>0.31347826086956521</v>
      </c>
      <c r="AT34" s="47">
        <v>0.63</v>
      </c>
      <c r="AU34" s="48">
        <f t="shared" si="60"/>
        <v>0.2739130434782609</v>
      </c>
      <c r="AV34" s="47">
        <v>0.58199999999999996</v>
      </c>
      <c r="AW34" s="48">
        <f t="shared" si="61"/>
        <v>0.25304347826086959</v>
      </c>
      <c r="AX34" s="47">
        <v>0.501</v>
      </c>
      <c r="AY34" s="48">
        <f t="shared" si="62"/>
        <v>0.21782608695652175</v>
      </c>
      <c r="AZ34" s="47">
        <v>0.47399999999999998</v>
      </c>
      <c r="BA34" s="48">
        <f t="shared" si="63"/>
        <v>0.20608695652173914</v>
      </c>
      <c r="BB34" s="47">
        <v>0.44900000000000001</v>
      </c>
      <c r="BC34" s="48">
        <f t="shared" si="64"/>
        <v>0.19521739130434784</v>
      </c>
      <c r="BD34" s="47">
        <v>0.42</v>
      </c>
      <c r="BE34" s="48">
        <f t="shared" si="65"/>
        <v>0.18260869565217391</v>
      </c>
      <c r="BF34" s="47">
        <v>0.38</v>
      </c>
      <c r="BG34" s="48">
        <f t="shared" si="66"/>
        <v>0.16521739130434784</v>
      </c>
      <c r="BH34" s="47">
        <v>0.44400000000000001</v>
      </c>
      <c r="BI34" s="48">
        <f t="shared" si="67"/>
        <v>0.19304347826086959</v>
      </c>
      <c r="BJ34" s="37" t="s">
        <v>41</v>
      </c>
    </row>
    <row r="35" spans="1:63">
      <c r="A35" s="39" t="s">
        <v>96</v>
      </c>
      <c r="B35" s="39" t="s">
        <v>101</v>
      </c>
      <c r="C35" s="40">
        <v>47</v>
      </c>
      <c r="D35" s="99" t="s">
        <v>102</v>
      </c>
      <c r="E35" s="43">
        <v>3.4</v>
      </c>
      <c r="F35" s="43">
        <v>3.4</v>
      </c>
      <c r="G35" s="43">
        <v>3.4</v>
      </c>
      <c r="H35" s="43">
        <v>3.4</v>
      </c>
      <c r="I35" s="43">
        <v>3.4</v>
      </c>
      <c r="J35" s="43">
        <v>3.4</v>
      </c>
      <c r="K35" s="43">
        <v>3.4</v>
      </c>
      <c r="L35" s="44">
        <v>3.4</v>
      </c>
      <c r="M35" s="135">
        <v>3.4</v>
      </c>
      <c r="N35" s="45">
        <v>3.4</v>
      </c>
      <c r="O35" s="46">
        <v>3.4</v>
      </c>
      <c r="P35" s="46">
        <v>3.4</v>
      </c>
      <c r="Q35" s="46">
        <v>3.4</v>
      </c>
      <c r="R35" s="47">
        <v>1.92</v>
      </c>
      <c r="S35" s="48">
        <f t="shared" si="46"/>
        <v>0.56470588235294117</v>
      </c>
      <c r="T35" s="47">
        <v>2.6059999999999999</v>
      </c>
      <c r="U35" s="48">
        <f t="shared" si="47"/>
        <v>0.76647058823529413</v>
      </c>
      <c r="V35" s="47">
        <v>2.6930000000000001</v>
      </c>
      <c r="W35" s="48">
        <f t="shared" si="48"/>
        <v>0.79205882352941182</v>
      </c>
      <c r="X35" s="47">
        <v>2.722</v>
      </c>
      <c r="Y35" s="48">
        <f t="shared" si="49"/>
        <v>0.80058823529411771</v>
      </c>
      <c r="Z35" s="47">
        <v>2.8719999999999999</v>
      </c>
      <c r="AA35" s="48">
        <f t="shared" si="50"/>
        <v>0.8447058823529412</v>
      </c>
      <c r="AB35" s="47">
        <v>2.2229999999999999</v>
      </c>
      <c r="AC35" s="48">
        <f t="shared" si="51"/>
        <v>0.65382352941176469</v>
      </c>
      <c r="AD35" s="47">
        <v>2.323</v>
      </c>
      <c r="AE35" s="48">
        <f t="shared" si="52"/>
        <v>0.68323529411764705</v>
      </c>
      <c r="AF35" s="47">
        <v>2.5670000000000002</v>
      </c>
      <c r="AG35" s="48">
        <f t="shared" si="53"/>
        <v>0.75500000000000012</v>
      </c>
      <c r="AH35" s="47">
        <v>2.3559999999999999</v>
      </c>
      <c r="AI35" s="48">
        <f t="shared" si="54"/>
        <v>0.69294117647058817</v>
      </c>
      <c r="AJ35" s="47">
        <v>2.0129999999999999</v>
      </c>
      <c r="AK35" s="48">
        <f t="shared" si="55"/>
        <v>0.59205882352941175</v>
      </c>
      <c r="AL35" s="47">
        <v>1.681</v>
      </c>
      <c r="AM35" s="48">
        <f t="shared" si="56"/>
        <v>0.49441176470588238</v>
      </c>
      <c r="AN35" s="47">
        <v>1.238</v>
      </c>
      <c r="AO35" s="48">
        <f t="shared" si="57"/>
        <v>0.36411764705882355</v>
      </c>
      <c r="AP35" s="47">
        <v>0.92</v>
      </c>
      <c r="AQ35" s="48">
        <f t="shared" si="58"/>
        <v>0.27058823529411768</v>
      </c>
      <c r="AR35" s="47">
        <v>0.83399999999999996</v>
      </c>
      <c r="AS35" s="48">
        <f t="shared" si="59"/>
        <v>0.24529411764705883</v>
      </c>
      <c r="AT35" s="47">
        <v>0.78</v>
      </c>
      <c r="AU35" s="48">
        <f t="shared" si="60"/>
        <v>0.22941176470588237</v>
      </c>
      <c r="AV35" s="47">
        <v>0.77700000000000002</v>
      </c>
      <c r="AW35" s="48">
        <f t="shared" si="61"/>
        <v>0.2285294117647059</v>
      </c>
      <c r="AX35" s="47">
        <v>0.69099999999999995</v>
      </c>
      <c r="AY35" s="48">
        <f t="shared" si="62"/>
        <v>0.20323529411764704</v>
      </c>
      <c r="AZ35" s="47">
        <v>0.73499999999999999</v>
      </c>
      <c r="BA35" s="48">
        <f t="shared" si="63"/>
        <v>0.2161764705882353</v>
      </c>
      <c r="BB35" s="47">
        <v>0.67</v>
      </c>
      <c r="BC35" s="48">
        <f t="shared" si="64"/>
        <v>0.19705882352941179</v>
      </c>
      <c r="BD35" s="47">
        <v>0.63</v>
      </c>
      <c r="BE35" s="48">
        <f t="shared" si="65"/>
        <v>0.18529411764705883</v>
      </c>
      <c r="BF35" s="47">
        <v>0.52</v>
      </c>
      <c r="BG35" s="48">
        <f t="shared" si="66"/>
        <v>0.15294117647058825</v>
      </c>
      <c r="BH35" s="47">
        <v>3.4</v>
      </c>
      <c r="BI35" s="48">
        <f t="shared" si="67"/>
        <v>1</v>
      </c>
      <c r="BJ35" s="37" t="s">
        <v>41</v>
      </c>
    </row>
    <row r="36" spans="1:63">
      <c r="A36" s="39" t="s">
        <v>96</v>
      </c>
      <c r="B36" s="39" t="s">
        <v>103</v>
      </c>
      <c r="C36" s="40">
        <v>27</v>
      </c>
      <c r="D36" s="99" t="s">
        <v>104</v>
      </c>
      <c r="E36" s="43">
        <v>24</v>
      </c>
      <c r="F36" s="43">
        <v>24</v>
      </c>
      <c r="G36" s="43">
        <v>24</v>
      </c>
      <c r="H36" s="43">
        <v>24</v>
      </c>
      <c r="I36" s="43">
        <v>24</v>
      </c>
      <c r="J36" s="43">
        <v>24</v>
      </c>
      <c r="K36" s="43">
        <v>24</v>
      </c>
      <c r="L36" s="44">
        <v>24</v>
      </c>
      <c r="M36" s="45">
        <v>24</v>
      </c>
      <c r="N36" s="45">
        <v>24</v>
      </c>
      <c r="O36" s="46">
        <v>24</v>
      </c>
      <c r="P36" s="46">
        <v>24</v>
      </c>
      <c r="Q36" s="46">
        <v>24</v>
      </c>
      <c r="R36" s="47">
        <v>17.053999999999998</v>
      </c>
      <c r="S36" s="48">
        <f t="shared" si="46"/>
        <v>0.71058333333333323</v>
      </c>
      <c r="T36" s="47">
        <v>22.645</v>
      </c>
      <c r="U36" s="48">
        <f t="shared" si="47"/>
        <v>0.94354166666666661</v>
      </c>
      <c r="V36" s="47">
        <v>24</v>
      </c>
      <c r="W36" s="48">
        <f t="shared" si="48"/>
        <v>1</v>
      </c>
      <c r="X36" s="47">
        <v>24</v>
      </c>
      <c r="Y36" s="48">
        <f t="shared" si="49"/>
        <v>1</v>
      </c>
      <c r="Z36" s="47">
        <v>24</v>
      </c>
      <c r="AA36" s="48">
        <f t="shared" si="50"/>
        <v>1</v>
      </c>
      <c r="AB36" s="47">
        <v>23.195</v>
      </c>
      <c r="AC36" s="48">
        <f t="shared" si="51"/>
        <v>0.96645833333333331</v>
      </c>
      <c r="AD36" s="47">
        <v>22.882000000000001</v>
      </c>
      <c r="AE36" s="48">
        <f t="shared" si="52"/>
        <v>0.95341666666666669</v>
      </c>
      <c r="AF36" s="47">
        <v>22.423999999999999</v>
      </c>
      <c r="AG36" s="48">
        <f t="shared" si="53"/>
        <v>0.93433333333333335</v>
      </c>
      <c r="AH36" s="47">
        <v>20.742999999999999</v>
      </c>
      <c r="AI36" s="48">
        <f t="shared" si="54"/>
        <v>0.86429166666666657</v>
      </c>
      <c r="AJ36" s="47">
        <v>18.783000000000001</v>
      </c>
      <c r="AK36" s="48">
        <f t="shared" si="55"/>
        <v>0.78262500000000002</v>
      </c>
      <c r="AL36" s="47">
        <v>17.004999999999999</v>
      </c>
      <c r="AM36" s="48">
        <f t="shared" si="56"/>
        <v>0.70854166666666663</v>
      </c>
      <c r="AN36" s="47">
        <v>13.343</v>
      </c>
      <c r="AO36" s="48">
        <f t="shared" si="57"/>
        <v>0.55595833333333333</v>
      </c>
      <c r="AP36" s="47">
        <v>11.734999999999999</v>
      </c>
      <c r="AQ36" s="48">
        <f t="shared" si="58"/>
        <v>0.48895833333333333</v>
      </c>
      <c r="AR36" s="47">
        <v>9.109</v>
      </c>
      <c r="AS36" s="48">
        <f t="shared" si="59"/>
        <v>0.37954166666666667</v>
      </c>
      <c r="AT36" s="47">
        <v>8.32</v>
      </c>
      <c r="AU36" s="48">
        <f t="shared" si="60"/>
        <v>0.34666666666666668</v>
      </c>
      <c r="AV36" s="47">
        <v>7.81</v>
      </c>
      <c r="AW36" s="48">
        <f t="shared" si="61"/>
        <v>0.32541666666666663</v>
      </c>
      <c r="AX36" s="47">
        <v>7.0519999999999996</v>
      </c>
      <c r="AY36" s="48">
        <f t="shared" si="62"/>
        <v>0.29383333333333334</v>
      </c>
      <c r="AZ36" s="47">
        <v>6.202</v>
      </c>
      <c r="BA36" s="48">
        <f t="shared" si="63"/>
        <v>0.25841666666666668</v>
      </c>
      <c r="BB36" s="47">
        <v>5.8579999999999997</v>
      </c>
      <c r="BC36" s="48">
        <f t="shared" si="64"/>
        <v>0.24408333333333332</v>
      </c>
      <c r="BD36" s="47">
        <v>5.4850000000000003</v>
      </c>
      <c r="BE36" s="48">
        <f t="shared" si="65"/>
        <v>0.22854166666666667</v>
      </c>
      <c r="BF36" s="47">
        <v>5.03</v>
      </c>
      <c r="BG36" s="48">
        <f t="shared" si="66"/>
        <v>0.20958333333333334</v>
      </c>
      <c r="BH36" s="47">
        <v>5.4420000000000002</v>
      </c>
      <c r="BI36" s="48">
        <f t="shared" si="67"/>
        <v>0.22675000000000001</v>
      </c>
      <c r="BJ36" s="37" t="s">
        <v>41</v>
      </c>
    </row>
    <row r="37" spans="1:63">
      <c r="A37" s="39" t="s">
        <v>96</v>
      </c>
      <c r="B37" s="39" t="s">
        <v>105</v>
      </c>
      <c r="C37" s="40">
        <v>32</v>
      </c>
      <c r="D37" s="99" t="s">
        <v>106</v>
      </c>
      <c r="E37" s="43">
        <v>2</v>
      </c>
      <c r="F37" s="43">
        <v>2</v>
      </c>
      <c r="G37" s="43">
        <v>2</v>
      </c>
      <c r="H37" s="43">
        <v>2</v>
      </c>
      <c r="I37" s="43">
        <v>2</v>
      </c>
      <c r="J37" s="43">
        <v>2</v>
      </c>
      <c r="K37" s="43">
        <v>2.5</v>
      </c>
      <c r="L37" s="44">
        <v>2.5</v>
      </c>
      <c r="M37" s="45">
        <v>2.5</v>
      </c>
      <c r="N37" s="45">
        <v>2.5</v>
      </c>
      <c r="O37" s="46">
        <v>2.5</v>
      </c>
      <c r="P37" s="46">
        <v>2.5</v>
      </c>
      <c r="Q37" s="46">
        <v>2.5</v>
      </c>
      <c r="R37" s="47">
        <v>2.5</v>
      </c>
      <c r="S37" s="48">
        <f t="shared" si="46"/>
        <v>1</v>
      </c>
      <c r="T37" s="47">
        <v>2.4889999999999999</v>
      </c>
      <c r="U37" s="48">
        <f t="shared" si="47"/>
        <v>0.99559999999999993</v>
      </c>
      <c r="V37" s="47">
        <v>2.41</v>
      </c>
      <c r="W37" s="48">
        <f t="shared" si="48"/>
        <v>0.96400000000000008</v>
      </c>
      <c r="X37" s="47">
        <v>2.423</v>
      </c>
      <c r="Y37" s="48">
        <f t="shared" si="49"/>
        <v>0.96920000000000006</v>
      </c>
      <c r="Z37" s="47">
        <v>2.5</v>
      </c>
      <c r="AA37" s="48">
        <f t="shared" si="50"/>
        <v>1</v>
      </c>
      <c r="AB37" s="47">
        <v>2.5</v>
      </c>
      <c r="AC37" s="48">
        <f t="shared" si="51"/>
        <v>1</v>
      </c>
      <c r="AD37" s="47">
        <v>2.4569999999999999</v>
      </c>
      <c r="AE37" s="48">
        <f t="shared" si="52"/>
        <v>0.9827999999999999</v>
      </c>
      <c r="AF37" s="47">
        <v>2.431</v>
      </c>
      <c r="AG37" s="48">
        <f t="shared" si="53"/>
        <v>0.97240000000000004</v>
      </c>
      <c r="AH37" s="47">
        <v>2.0489999999999999</v>
      </c>
      <c r="AI37" s="48">
        <f t="shared" si="54"/>
        <v>0.8196</v>
      </c>
      <c r="AJ37" s="47">
        <v>1.8580000000000001</v>
      </c>
      <c r="AK37" s="48">
        <f t="shared" si="55"/>
        <v>0.74320000000000008</v>
      </c>
      <c r="AL37" s="47">
        <v>1.331</v>
      </c>
      <c r="AM37" s="48">
        <f t="shared" si="56"/>
        <v>0.53239999999999998</v>
      </c>
      <c r="AN37" s="47">
        <v>0.753</v>
      </c>
      <c r="AO37" s="48">
        <f t="shared" si="57"/>
        <v>0.30120000000000002</v>
      </c>
      <c r="AP37" s="47">
        <v>0.55300000000000005</v>
      </c>
      <c r="AQ37" s="48">
        <f t="shared" si="58"/>
        <v>0.22120000000000001</v>
      </c>
      <c r="AR37" s="47">
        <v>0.42399999999999999</v>
      </c>
      <c r="AS37" s="48">
        <f t="shared" si="59"/>
        <v>0.1696</v>
      </c>
      <c r="AT37" s="47">
        <v>0.4</v>
      </c>
      <c r="AU37" s="48">
        <f t="shared" si="60"/>
        <v>0.16</v>
      </c>
      <c r="AV37" s="47">
        <v>0.38300000000000001</v>
      </c>
      <c r="AW37" s="48">
        <f t="shared" si="61"/>
        <v>0.1532</v>
      </c>
      <c r="AX37" s="47">
        <v>0.36399999999999999</v>
      </c>
      <c r="AY37" s="48">
        <f t="shared" si="62"/>
        <v>0.14560000000000001</v>
      </c>
      <c r="AZ37" s="47">
        <v>0.27300000000000002</v>
      </c>
      <c r="BA37" s="48">
        <f t="shared" si="63"/>
        <v>0.10920000000000001</v>
      </c>
      <c r="BB37" s="47">
        <v>0.23200000000000001</v>
      </c>
      <c r="BC37" s="48">
        <f t="shared" si="64"/>
        <v>9.2800000000000007E-2</v>
      </c>
      <c r="BD37" s="47">
        <v>0.247</v>
      </c>
      <c r="BE37" s="48">
        <f t="shared" si="65"/>
        <v>9.8799999999999999E-2</v>
      </c>
      <c r="BF37" s="47">
        <v>0.17</v>
      </c>
      <c r="BG37" s="48">
        <f t="shared" si="66"/>
        <v>6.8000000000000005E-2</v>
      </c>
      <c r="BH37" s="47">
        <v>0.36</v>
      </c>
      <c r="BI37" s="48">
        <f t="shared" si="67"/>
        <v>0.14399999999999999</v>
      </c>
      <c r="BJ37" s="37" t="s">
        <v>41</v>
      </c>
    </row>
    <row r="38" spans="1:63">
      <c r="A38" s="39" t="s">
        <v>96</v>
      </c>
      <c r="B38" s="39" t="s">
        <v>107</v>
      </c>
      <c r="C38" s="40">
        <v>25</v>
      </c>
      <c r="D38" s="99" t="s">
        <v>102</v>
      </c>
      <c r="E38" s="43">
        <v>3.72</v>
      </c>
      <c r="F38" s="43">
        <v>3.72</v>
      </c>
      <c r="G38" s="43">
        <v>3.72</v>
      </c>
      <c r="H38" s="43">
        <v>3.72</v>
      </c>
      <c r="I38" s="43">
        <v>3.72</v>
      </c>
      <c r="J38" s="43">
        <v>3.72</v>
      </c>
      <c r="K38" s="43">
        <v>3.72</v>
      </c>
      <c r="L38" s="44">
        <v>3.72</v>
      </c>
      <c r="M38" s="45">
        <v>3.72</v>
      </c>
      <c r="N38" s="45">
        <v>3.72</v>
      </c>
      <c r="O38" s="46">
        <v>3.72</v>
      </c>
      <c r="P38" s="46">
        <v>3.72</v>
      </c>
      <c r="Q38" s="46">
        <v>3.72</v>
      </c>
      <c r="R38" s="47">
        <v>3.72</v>
      </c>
      <c r="S38" s="48">
        <f t="shared" si="46"/>
        <v>1</v>
      </c>
      <c r="T38" s="47">
        <v>3.72</v>
      </c>
      <c r="U38" s="48">
        <f t="shared" si="47"/>
        <v>1</v>
      </c>
      <c r="V38" s="47">
        <v>3.72</v>
      </c>
      <c r="W38" s="48">
        <f t="shared" si="48"/>
        <v>1</v>
      </c>
      <c r="X38" s="47">
        <v>3.72</v>
      </c>
      <c r="Y38" s="48">
        <f t="shared" si="49"/>
        <v>1</v>
      </c>
      <c r="Z38" s="47">
        <v>3.72</v>
      </c>
      <c r="AA38" s="48">
        <f t="shared" si="50"/>
        <v>1</v>
      </c>
      <c r="AB38" s="47">
        <v>3.5990000000000002</v>
      </c>
      <c r="AC38" s="48">
        <f t="shared" si="51"/>
        <v>0.96747311827956994</v>
      </c>
      <c r="AD38" s="47">
        <v>3.5270000000000001</v>
      </c>
      <c r="AE38" s="48">
        <f t="shared" si="52"/>
        <v>0.94811827956989247</v>
      </c>
      <c r="AF38" s="47">
        <v>3.4390000000000001</v>
      </c>
      <c r="AG38" s="48">
        <f t="shared" si="53"/>
        <v>0.92446236559139783</v>
      </c>
      <c r="AH38" s="47">
        <v>3.2909999999999999</v>
      </c>
      <c r="AI38" s="48">
        <f t="shared" si="54"/>
        <v>0.88467741935483868</v>
      </c>
      <c r="AJ38" s="47">
        <v>3.1459999999999999</v>
      </c>
      <c r="AK38" s="48">
        <f t="shared" si="55"/>
        <v>0.84569892473118269</v>
      </c>
      <c r="AL38" s="47">
        <v>2.9140000000000001</v>
      </c>
      <c r="AM38" s="48">
        <f t="shared" si="56"/>
        <v>0.78333333333333333</v>
      </c>
      <c r="AN38" s="47">
        <v>2.323</v>
      </c>
      <c r="AO38" s="48">
        <f t="shared" si="57"/>
        <v>0.62446236559139778</v>
      </c>
      <c r="AP38" s="47">
        <v>2.012</v>
      </c>
      <c r="AQ38" s="48">
        <f t="shared" si="58"/>
        <v>0.54086021505376336</v>
      </c>
      <c r="AR38" s="47">
        <v>1.5249999999999999</v>
      </c>
      <c r="AS38" s="48">
        <f t="shared" si="59"/>
        <v>0.40994623655913975</v>
      </c>
      <c r="AT38" s="47">
        <v>1.43</v>
      </c>
      <c r="AU38" s="48">
        <f t="shared" si="60"/>
        <v>0.38440860215053757</v>
      </c>
      <c r="AV38" s="47">
        <v>1.347</v>
      </c>
      <c r="AW38" s="48">
        <f t="shared" si="61"/>
        <v>0.36209677419354835</v>
      </c>
      <c r="AX38" s="47">
        <v>1.101</v>
      </c>
      <c r="AY38" s="48">
        <f t="shared" si="62"/>
        <v>0.29596774193548386</v>
      </c>
      <c r="AZ38" s="47">
        <v>0.95399999999999996</v>
      </c>
      <c r="BA38" s="48">
        <f t="shared" si="63"/>
        <v>0.25645161290322577</v>
      </c>
      <c r="BB38" s="47">
        <v>0.86499999999999999</v>
      </c>
      <c r="BC38" s="48">
        <f t="shared" si="64"/>
        <v>0.2325268817204301</v>
      </c>
      <c r="BD38" s="47">
        <v>0.80100000000000005</v>
      </c>
      <c r="BE38" s="48">
        <f t="shared" si="65"/>
        <v>0.2153225806451613</v>
      </c>
      <c r="BF38" s="47">
        <v>0.69</v>
      </c>
      <c r="BG38" s="48">
        <f t="shared" si="66"/>
        <v>0.18548387096774191</v>
      </c>
      <c r="BH38" s="47">
        <v>0.76500000000000001</v>
      </c>
      <c r="BI38" s="48">
        <f t="shared" si="67"/>
        <v>0.20564516129032256</v>
      </c>
      <c r="BJ38" s="37" t="s">
        <v>41</v>
      </c>
    </row>
    <row r="39" spans="1:63">
      <c r="A39" s="39" t="s">
        <v>96</v>
      </c>
      <c r="B39" s="39" t="s">
        <v>108</v>
      </c>
      <c r="C39" s="40">
        <v>29</v>
      </c>
      <c r="D39" s="99" t="s">
        <v>109</v>
      </c>
      <c r="E39" s="43">
        <v>14</v>
      </c>
      <c r="F39" s="43">
        <v>14</v>
      </c>
      <c r="G39" s="43">
        <v>14</v>
      </c>
      <c r="H39" s="43">
        <v>14</v>
      </c>
      <c r="I39" s="43">
        <v>14</v>
      </c>
      <c r="J39" s="43">
        <v>14</v>
      </c>
      <c r="K39" s="43">
        <v>14</v>
      </c>
      <c r="L39" s="44">
        <v>14</v>
      </c>
      <c r="M39" s="45">
        <v>14</v>
      </c>
      <c r="N39" s="45">
        <v>14</v>
      </c>
      <c r="O39" s="46">
        <v>14</v>
      </c>
      <c r="P39" s="46">
        <v>14</v>
      </c>
      <c r="Q39" s="46">
        <v>14</v>
      </c>
      <c r="R39" s="47">
        <v>7.03</v>
      </c>
      <c r="S39" s="48">
        <f t="shared" si="46"/>
        <v>0.50214285714285711</v>
      </c>
      <c r="T39" s="47">
        <v>8.7780000000000005</v>
      </c>
      <c r="U39" s="48">
        <f t="shared" si="47"/>
        <v>0.627</v>
      </c>
      <c r="V39" s="47">
        <v>9.1989999999999998</v>
      </c>
      <c r="W39" s="48">
        <f t="shared" si="48"/>
        <v>0.65707142857142853</v>
      </c>
      <c r="X39" s="47">
        <v>11.074999999999999</v>
      </c>
      <c r="Y39" s="48">
        <f t="shared" si="49"/>
        <v>0.79107142857142854</v>
      </c>
      <c r="Z39" s="47">
        <v>13.811999999999999</v>
      </c>
      <c r="AA39" s="48">
        <f t="shared" si="50"/>
        <v>0.98657142857142854</v>
      </c>
      <c r="AB39" s="47">
        <v>13.798</v>
      </c>
      <c r="AC39" s="48">
        <f t="shared" si="51"/>
        <v>0.98557142857142854</v>
      </c>
      <c r="AD39" s="47">
        <v>13.81</v>
      </c>
      <c r="AE39" s="48">
        <f t="shared" si="52"/>
        <v>0.98642857142857143</v>
      </c>
      <c r="AF39" s="47">
        <v>13.7</v>
      </c>
      <c r="AG39" s="48">
        <f t="shared" si="53"/>
        <v>0.97857142857142854</v>
      </c>
      <c r="AH39" s="47">
        <v>12</v>
      </c>
      <c r="AI39" s="48">
        <f t="shared" si="54"/>
        <v>0.8571428571428571</v>
      </c>
      <c r="AJ39" s="47">
        <v>11.387</v>
      </c>
      <c r="AK39" s="48">
        <f t="shared" si="55"/>
        <v>0.81335714285714289</v>
      </c>
      <c r="AL39" s="47">
        <v>9.125</v>
      </c>
      <c r="AM39" s="48">
        <f t="shared" si="56"/>
        <v>0.6517857142857143</v>
      </c>
      <c r="AN39" s="47">
        <v>5.7510000000000003</v>
      </c>
      <c r="AO39" s="48">
        <f t="shared" si="57"/>
        <v>0.41078571428571431</v>
      </c>
      <c r="AP39" s="47">
        <v>4.5039999999999996</v>
      </c>
      <c r="AQ39" s="48">
        <f t="shared" si="58"/>
        <v>0.32171428571428567</v>
      </c>
      <c r="AR39" s="47">
        <v>3.24</v>
      </c>
      <c r="AS39" s="48">
        <f t="shared" si="59"/>
        <v>0.23142857142857146</v>
      </c>
      <c r="AT39" s="47">
        <v>2.94</v>
      </c>
      <c r="AU39" s="48">
        <f t="shared" si="60"/>
        <v>0.21</v>
      </c>
      <c r="AV39" s="47">
        <v>2.927</v>
      </c>
      <c r="AW39" s="48">
        <f t="shared" si="61"/>
        <v>0.20907142857142857</v>
      </c>
      <c r="AX39" s="47">
        <v>2.7519999999999998</v>
      </c>
      <c r="AY39" s="48">
        <f t="shared" si="62"/>
        <v>0.19657142857142856</v>
      </c>
      <c r="AZ39" s="47">
        <v>2.254</v>
      </c>
      <c r="BA39" s="48">
        <f t="shared" si="63"/>
        <v>0.161</v>
      </c>
      <c r="BB39" s="47">
        <v>2.4430000000000001</v>
      </c>
      <c r="BC39" s="48">
        <f t="shared" si="64"/>
        <v>0.17450000000000002</v>
      </c>
      <c r="BD39" s="47">
        <v>2.3479999999999999</v>
      </c>
      <c r="BE39" s="48">
        <f t="shared" si="65"/>
        <v>0.1677142857142857</v>
      </c>
      <c r="BF39" s="47">
        <v>2.2799999999999998</v>
      </c>
      <c r="BG39" s="48">
        <f t="shared" si="66"/>
        <v>0.16285714285714284</v>
      </c>
      <c r="BH39" s="47">
        <v>3.16</v>
      </c>
      <c r="BI39" s="48">
        <f t="shared" si="67"/>
        <v>0.22571428571428573</v>
      </c>
      <c r="BJ39" s="37" t="s">
        <v>41</v>
      </c>
    </row>
    <row r="40" spans="1:63">
      <c r="A40" s="39" t="s">
        <v>96</v>
      </c>
      <c r="B40" s="39" t="s">
        <v>110</v>
      </c>
      <c r="C40" s="40">
        <v>15</v>
      </c>
      <c r="D40" s="99" t="s">
        <v>111</v>
      </c>
      <c r="E40" s="43">
        <v>2.9249999999999998</v>
      </c>
      <c r="F40" s="43">
        <v>2.9249999999999998</v>
      </c>
      <c r="G40" s="43">
        <v>2.9249999999999998</v>
      </c>
      <c r="H40" s="43">
        <v>2.9249999999999998</v>
      </c>
      <c r="I40" s="43">
        <v>2.9249999999999998</v>
      </c>
      <c r="J40" s="43">
        <v>2.9249999999999998</v>
      </c>
      <c r="K40" s="43">
        <v>2.9249999999999998</v>
      </c>
      <c r="L40" s="44">
        <v>2.9249999999999998</v>
      </c>
      <c r="M40" s="45">
        <v>2.9249999999999998</v>
      </c>
      <c r="N40" s="45">
        <v>2.9249999999999998</v>
      </c>
      <c r="O40" s="46">
        <v>2.9249999999999998</v>
      </c>
      <c r="P40" s="46">
        <v>2.9249999999999998</v>
      </c>
      <c r="Q40" s="46">
        <v>2.9249999999999998</v>
      </c>
      <c r="R40" s="47">
        <v>1.8640000000000001</v>
      </c>
      <c r="S40" s="48">
        <f t="shared" si="46"/>
        <v>0.63726495726495735</v>
      </c>
      <c r="T40" s="47">
        <v>2.319</v>
      </c>
      <c r="U40" s="48">
        <f t="shared" si="47"/>
        <v>0.7928205128205128</v>
      </c>
      <c r="V40" s="47">
        <v>2.3690000000000002</v>
      </c>
      <c r="W40" s="48">
        <f t="shared" si="48"/>
        <v>0.80991452991453006</v>
      </c>
      <c r="X40" s="47">
        <v>2.4380000000000002</v>
      </c>
      <c r="Y40" s="48">
        <f t="shared" si="49"/>
        <v>0.83350427350427359</v>
      </c>
      <c r="Z40" s="47">
        <v>2.7</v>
      </c>
      <c r="AA40" s="48">
        <f t="shared" si="50"/>
        <v>0.92307692307692324</v>
      </c>
      <c r="AB40" s="47">
        <v>2.738</v>
      </c>
      <c r="AC40" s="48">
        <f t="shared" si="51"/>
        <v>0.93606837606837612</v>
      </c>
      <c r="AD40" s="47">
        <v>2.702</v>
      </c>
      <c r="AE40" s="48">
        <f t="shared" si="52"/>
        <v>0.92376068376068377</v>
      </c>
      <c r="AF40" s="47">
        <v>2.63</v>
      </c>
      <c r="AG40" s="48">
        <f t="shared" si="53"/>
        <v>0.89914529914529917</v>
      </c>
      <c r="AH40" s="47">
        <v>2.4889999999999999</v>
      </c>
      <c r="AI40" s="48">
        <f t="shared" si="54"/>
        <v>0.85094017094017094</v>
      </c>
      <c r="AJ40" s="47">
        <v>2.3570000000000002</v>
      </c>
      <c r="AK40" s="48">
        <f t="shared" si="55"/>
        <v>0.8058119658119659</v>
      </c>
      <c r="AL40" s="47">
        <v>2.242</v>
      </c>
      <c r="AM40" s="48">
        <f t="shared" si="56"/>
        <v>0.7664957264957265</v>
      </c>
      <c r="AN40" s="47">
        <v>2.081</v>
      </c>
      <c r="AO40" s="48">
        <f t="shared" si="57"/>
        <v>0.71145299145299146</v>
      </c>
      <c r="AP40" s="47">
        <v>1.9910000000000001</v>
      </c>
      <c r="AQ40" s="48">
        <f t="shared" si="58"/>
        <v>0.6806837606837608</v>
      </c>
      <c r="AR40" s="47">
        <v>1.8260000000000001</v>
      </c>
      <c r="AS40" s="48">
        <f t="shared" si="59"/>
        <v>0.62427350427350436</v>
      </c>
      <c r="AT40" s="47">
        <v>1.77</v>
      </c>
      <c r="AU40" s="48">
        <f t="shared" si="60"/>
        <v>0.6051282051282052</v>
      </c>
      <c r="AV40" s="47">
        <v>1.718</v>
      </c>
      <c r="AW40" s="48">
        <f t="shared" si="61"/>
        <v>0.58735042735042742</v>
      </c>
      <c r="AX40" s="47">
        <v>1.613</v>
      </c>
      <c r="AY40" s="48">
        <f t="shared" si="62"/>
        <v>0.55145299145299154</v>
      </c>
      <c r="AZ40" s="47">
        <v>1.516</v>
      </c>
      <c r="BA40" s="48">
        <f t="shared" si="63"/>
        <v>0.51829059829059831</v>
      </c>
      <c r="BB40" s="47">
        <v>1.484</v>
      </c>
      <c r="BC40" s="48">
        <f t="shared" si="64"/>
        <v>0.50735042735042735</v>
      </c>
      <c r="BD40" s="47">
        <v>1.4370000000000001</v>
      </c>
      <c r="BE40" s="48">
        <f t="shared" si="65"/>
        <v>0.49128205128205132</v>
      </c>
      <c r="BF40" s="47">
        <v>1.38</v>
      </c>
      <c r="BG40" s="48">
        <f t="shared" si="66"/>
        <v>0.47179487179487178</v>
      </c>
      <c r="BH40" s="47">
        <v>1.3260000000000001</v>
      </c>
      <c r="BI40" s="48">
        <f t="shared" si="67"/>
        <v>0.45333333333333337</v>
      </c>
      <c r="BJ40" s="37" t="s">
        <v>41</v>
      </c>
    </row>
    <row r="41" spans="1:63">
      <c r="A41" s="39" t="s">
        <v>96</v>
      </c>
      <c r="B41" s="39" t="s">
        <v>112</v>
      </c>
      <c r="C41" s="40">
        <v>46</v>
      </c>
      <c r="D41" s="99" t="s">
        <v>113</v>
      </c>
      <c r="E41" s="43">
        <v>1.75</v>
      </c>
      <c r="F41" s="43">
        <v>1.75</v>
      </c>
      <c r="G41" s="43">
        <v>1.75</v>
      </c>
      <c r="H41" s="43">
        <v>1.75</v>
      </c>
      <c r="I41" s="43">
        <v>1.75</v>
      </c>
      <c r="J41" s="43">
        <v>1.75</v>
      </c>
      <c r="K41" s="43">
        <v>1.75</v>
      </c>
      <c r="L41" s="44">
        <v>1.75</v>
      </c>
      <c r="M41" s="45">
        <v>1.75</v>
      </c>
      <c r="N41" s="45">
        <v>1.67</v>
      </c>
      <c r="O41" s="46">
        <v>1.67</v>
      </c>
      <c r="P41" s="46">
        <v>1.67</v>
      </c>
      <c r="Q41" s="46">
        <v>1.67</v>
      </c>
      <c r="R41" s="47">
        <v>1.2749999999999999</v>
      </c>
      <c r="S41" s="48">
        <f t="shared" si="46"/>
        <v>0.76347305389221554</v>
      </c>
      <c r="T41" s="47">
        <v>1.67</v>
      </c>
      <c r="U41" s="48">
        <f t="shared" si="47"/>
        <v>1</v>
      </c>
      <c r="V41" s="47">
        <v>1.67</v>
      </c>
      <c r="W41" s="48">
        <f t="shared" si="48"/>
        <v>1</v>
      </c>
      <c r="X41" s="47">
        <v>1.67</v>
      </c>
      <c r="Y41" s="48">
        <f t="shared" si="49"/>
        <v>1</v>
      </c>
      <c r="Z41" s="47">
        <v>1.67</v>
      </c>
      <c r="AA41" s="48">
        <f t="shared" si="50"/>
        <v>1</v>
      </c>
      <c r="AB41" s="47">
        <v>1.52</v>
      </c>
      <c r="AC41" s="48">
        <f t="shared" si="51"/>
        <v>0.91017964071856294</v>
      </c>
      <c r="AD41" s="47">
        <v>1.4470000000000001</v>
      </c>
      <c r="AE41" s="48">
        <f t="shared" si="52"/>
        <v>0.8664670658682635</v>
      </c>
      <c r="AF41" s="47">
        <v>1.399</v>
      </c>
      <c r="AG41" s="48">
        <f t="shared" si="53"/>
        <v>0.83772455089820363</v>
      </c>
      <c r="AH41" s="47">
        <v>1.202</v>
      </c>
      <c r="AI41" s="48">
        <f t="shared" si="54"/>
        <v>0.7197604790419162</v>
      </c>
      <c r="AJ41" s="47">
        <v>0.97099999999999997</v>
      </c>
      <c r="AK41" s="48">
        <f t="shared" si="55"/>
        <v>0.58143712574850304</v>
      </c>
      <c r="AL41" s="47">
        <v>0.79</v>
      </c>
      <c r="AM41" s="48">
        <f t="shared" si="56"/>
        <v>0.47305389221556893</v>
      </c>
      <c r="AN41" s="47">
        <v>0.43099999999999999</v>
      </c>
      <c r="AO41" s="48">
        <f t="shared" si="57"/>
        <v>0.25808383233532933</v>
      </c>
      <c r="AP41" s="47">
        <v>0.26</v>
      </c>
      <c r="AQ41" s="48">
        <f t="shared" si="58"/>
        <v>0.15568862275449102</v>
      </c>
      <c r="AR41" s="47">
        <v>0.18099999999999999</v>
      </c>
      <c r="AS41" s="48">
        <f t="shared" si="59"/>
        <v>0.10838323353293414</v>
      </c>
      <c r="AT41" s="47">
        <v>0.17</v>
      </c>
      <c r="AU41" s="48">
        <f t="shared" si="60"/>
        <v>0.10179640718562875</v>
      </c>
      <c r="AV41" s="47">
        <v>0.157</v>
      </c>
      <c r="AW41" s="48">
        <f t="shared" si="61"/>
        <v>9.4011976047904192E-2</v>
      </c>
      <c r="AX41" s="47">
        <v>0.13300000000000001</v>
      </c>
      <c r="AY41" s="48">
        <f t="shared" si="62"/>
        <v>7.964071856287426E-2</v>
      </c>
      <c r="AZ41" s="47">
        <v>0.11899999999999999</v>
      </c>
      <c r="BA41" s="48">
        <f t="shared" si="63"/>
        <v>7.1257485029940115E-2</v>
      </c>
      <c r="BB41" s="47">
        <v>0.107</v>
      </c>
      <c r="BC41" s="48">
        <f t="shared" si="64"/>
        <v>6.407185628742515E-2</v>
      </c>
      <c r="BD41" s="47">
        <v>9.8000000000000004E-2</v>
      </c>
      <c r="BE41" s="48">
        <f t="shared" si="65"/>
        <v>5.8682634730538925E-2</v>
      </c>
      <c r="BF41" s="47">
        <v>0.11</v>
      </c>
      <c r="BG41" s="48">
        <f t="shared" si="66"/>
        <v>6.5868263473053898E-2</v>
      </c>
      <c r="BH41" s="47">
        <v>0.17599999999999999</v>
      </c>
      <c r="BI41" s="48">
        <f t="shared" si="67"/>
        <v>0.10538922155688622</v>
      </c>
      <c r="BJ41" s="37" t="s">
        <v>41</v>
      </c>
    </row>
    <row r="42" spans="1:63" ht="11.25" customHeight="1">
      <c r="A42" s="39" t="s">
        <v>96</v>
      </c>
      <c r="B42" s="39" t="s">
        <v>114</v>
      </c>
      <c r="C42" s="40" t="s">
        <v>115</v>
      </c>
      <c r="D42" s="99" t="s">
        <v>116</v>
      </c>
      <c r="E42" s="43"/>
      <c r="F42" s="43"/>
      <c r="G42" s="43"/>
      <c r="H42" s="43"/>
      <c r="I42" s="43"/>
      <c r="J42" s="43"/>
      <c r="K42" s="43"/>
      <c r="L42" s="44"/>
      <c r="M42" s="45"/>
      <c r="N42" s="45"/>
      <c r="O42" s="46"/>
      <c r="P42" s="46"/>
      <c r="Q42" s="46">
        <v>4.95</v>
      </c>
      <c r="R42" s="47">
        <v>1.974</v>
      </c>
      <c r="S42" s="48">
        <f t="shared" si="46"/>
        <v>0.39878787878787875</v>
      </c>
      <c r="T42" s="47">
        <v>2.9590000000000001</v>
      </c>
      <c r="U42" s="48">
        <f t="shared" si="47"/>
        <v>0.59777777777777774</v>
      </c>
      <c r="V42" s="47">
        <v>3.6320000000000001</v>
      </c>
      <c r="W42" s="48">
        <f t="shared" si="48"/>
        <v>0.73373737373737369</v>
      </c>
      <c r="X42" s="47">
        <v>4.476</v>
      </c>
      <c r="Y42" s="48">
        <f t="shared" si="49"/>
        <v>0.90424242424242418</v>
      </c>
      <c r="Z42" s="47">
        <v>4.95</v>
      </c>
      <c r="AA42" s="48">
        <f t="shared" si="50"/>
        <v>1</v>
      </c>
      <c r="AB42" s="47">
        <v>4.9269999999999996</v>
      </c>
      <c r="AC42" s="48">
        <f t="shared" si="51"/>
        <v>0.99535353535353521</v>
      </c>
      <c r="AD42" s="47">
        <v>4.9459999999999997</v>
      </c>
      <c r="AE42" s="48">
        <f t="shared" si="52"/>
        <v>0.99919191919191908</v>
      </c>
      <c r="AF42" s="47">
        <v>4.9210000000000003</v>
      </c>
      <c r="AG42" s="48">
        <f t="shared" si="53"/>
        <v>0.9941414141414141</v>
      </c>
      <c r="AH42" s="47">
        <v>4.8390000000000004</v>
      </c>
      <c r="AI42" s="48">
        <f t="shared" si="54"/>
        <v>0.97757575757575765</v>
      </c>
      <c r="AJ42" s="47">
        <v>4.82</v>
      </c>
      <c r="AK42" s="48">
        <f t="shared" si="55"/>
        <v>0.97373737373737379</v>
      </c>
      <c r="AL42" s="47">
        <v>4.6239999999999997</v>
      </c>
      <c r="AM42" s="48">
        <f t="shared" si="56"/>
        <v>0.93414141414141405</v>
      </c>
      <c r="AN42" s="47">
        <v>4.2320000000000002</v>
      </c>
      <c r="AO42" s="48">
        <f t="shared" si="57"/>
        <v>0.85494949494949501</v>
      </c>
      <c r="AP42" s="47">
        <v>3.806</v>
      </c>
      <c r="AQ42" s="48">
        <f t="shared" si="58"/>
        <v>0.76888888888888884</v>
      </c>
      <c r="AR42" s="47">
        <v>3.3719999999999999</v>
      </c>
      <c r="AS42" s="48">
        <f t="shared" si="59"/>
        <v>0.68121212121212116</v>
      </c>
      <c r="AT42" s="47">
        <v>3.24</v>
      </c>
      <c r="AU42" s="48">
        <f t="shared" si="60"/>
        <v>0.65454545454545454</v>
      </c>
      <c r="AV42" s="47">
        <v>3.1560000000000001</v>
      </c>
      <c r="AW42" s="48">
        <f t="shared" si="61"/>
        <v>0.63757575757575757</v>
      </c>
      <c r="AX42" s="47">
        <v>2.536</v>
      </c>
      <c r="AY42" s="48">
        <f t="shared" si="62"/>
        <v>0.51232323232323229</v>
      </c>
      <c r="AZ42" s="47">
        <v>2.1070000000000002</v>
      </c>
      <c r="BA42" s="48">
        <f t="shared" si="63"/>
        <v>0.42565656565656568</v>
      </c>
      <c r="BB42" s="47">
        <v>1.7809999999999999</v>
      </c>
      <c r="BC42" s="48">
        <f t="shared" si="64"/>
        <v>0.35979797979797978</v>
      </c>
      <c r="BD42" s="47">
        <v>1.468</v>
      </c>
      <c r="BE42" s="48">
        <f t="shared" si="65"/>
        <v>0.29656565656565653</v>
      </c>
      <c r="BF42" s="47">
        <v>1.25</v>
      </c>
      <c r="BG42" s="48">
        <f t="shared" si="66"/>
        <v>0.25252525252525254</v>
      </c>
      <c r="BH42" s="47">
        <v>1.113</v>
      </c>
      <c r="BI42" s="48">
        <f t="shared" si="67"/>
        <v>0.22484848484848483</v>
      </c>
      <c r="BJ42" s="37" t="s">
        <v>41</v>
      </c>
    </row>
    <row r="43" spans="1:63" s="74" customFormat="1" ht="13.5" customHeight="1">
      <c r="A43" s="435" t="s">
        <v>117</v>
      </c>
      <c r="B43" s="435"/>
      <c r="C43" s="1"/>
      <c r="D43" s="128"/>
      <c r="E43" s="66">
        <f t="shared" ref="E43:O43" si="68">SUM(E33:E41)</f>
        <v>64.094999999999999</v>
      </c>
      <c r="F43" s="66">
        <f t="shared" si="68"/>
        <v>64.094999999999999</v>
      </c>
      <c r="G43" s="66">
        <f t="shared" si="68"/>
        <v>64.094999999999999</v>
      </c>
      <c r="H43" s="66">
        <f t="shared" si="68"/>
        <v>64.094999999999999</v>
      </c>
      <c r="I43" s="66">
        <f t="shared" si="68"/>
        <v>64.094999999999999</v>
      </c>
      <c r="J43" s="66">
        <f t="shared" si="68"/>
        <v>64.094999999999999</v>
      </c>
      <c r="K43" s="66">
        <f t="shared" si="68"/>
        <v>64.594999999999999</v>
      </c>
      <c r="L43" s="67">
        <f t="shared" si="68"/>
        <v>64.594999999999999</v>
      </c>
      <c r="M43" s="136">
        <f t="shared" si="68"/>
        <v>64.594999999999999</v>
      </c>
      <c r="N43" s="136">
        <f t="shared" si="68"/>
        <v>64.515000000000001</v>
      </c>
      <c r="O43" s="137">
        <f t="shared" si="68"/>
        <v>64.515000000000001</v>
      </c>
      <c r="P43" s="137">
        <v>64.515000000000001</v>
      </c>
      <c r="Q43" s="137">
        <f>SUM(Q33:Q42)</f>
        <v>69.465000000000003</v>
      </c>
      <c r="R43" s="70">
        <v>47.968000000000004</v>
      </c>
      <c r="S43" s="71">
        <f t="shared" si="46"/>
        <v>0.69053480169869719</v>
      </c>
      <c r="T43" s="70">
        <v>59.485999999999997</v>
      </c>
      <c r="U43" s="71">
        <f t="shared" si="47"/>
        <v>0.85634492190311662</v>
      </c>
      <c r="V43" s="70">
        <v>61.993000000000002</v>
      </c>
      <c r="W43" s="71">
        <f t="shared" si="48"/>
        <v>0.8924350392283884</v>
      </c>
      <c r="X43" s="70">
        <v>64.823999999999998</v>
      </c>
      <c r="Y43" s="71">
        <f t="shared" si="49"/>
        <v>0.93318937594472029</v>
      </c>
      <c r="Z43" s="70">
        <v>68.524000000000001</v>
      </c>
      <c r="AA43" s="71">
        <f t="shared" si="50"/>
        <v>0.98645360973151941</v>
      </c>
      <c r="AB43" s="70">
        <v>66.593000000000004</v>
      </c>
      <c r="AC43" s="71">
        <f t="shared" si="51"/>
        <v>0.95865543799035491</v>
      </c>
      <c r="AD43" s="70">
        <v>65.906000000000006</v>
      </c>
      <c r="AE43" s="71">
        <f t="shared" si="52"/>
        <v>0.94876556539264378</v>
      </c>
      <c r="AF43" s="70">
        <v>64.960999999999999</v>
      </c>
      <c r="AG43" s="71">
        <f t="shared" si="53"/>
        <v>0.93516159216871797</v>
      </c>
      <c r="AH43" s="70">
        <v>59.11</v>
      </c>
      <c r="AI43" s="71">
        <f t="shared" si="54"/>
        <v>0.85093212409126895</v>
      </c>
      <c r="AJ43" s="70">
        <v>54.386000000000003</v>
      </c>
      <c r="AK43" s="71">
        <f t="shared" si="55"/>
        <v>0.78292665371050174</v>
      </c>
      <c r="AL43" s="70">
        <v>47.552</v>
      </c>
      <c r="AM43" s="71">
        <f t="shared" si="56"/>
        <v>0.68454617433239762</v>
      </c>
      <c r="AN43" s="70">
        <v>35.630000000000003</v>
      </c>
      <c r="AO43" s="71">
        <f t="shared" si="57"/>
        <v>0.51292017562801417</v>
      </c>
      <c r="AP43" s="70">
        <v>30.259</v>
      </c>
      <c r="AQ43" s="71">
        <f t="shared" si="58"/>
        <v>0.43560066220398758</v>
      </c>
      <c r="AR43" s="70">
        <v>23.541</v>
      </c>
      <c r="AS43" s="71">
        <f t="shared" si="59"/>
        <v>0.33889008853379399</v>
      </c>
      <c r="AT43" s="70">
        <v>21.75</v>
      </c>
      <c r="AU43" s="71">
        <f t="shared" si="60"/>
        <v>0.31310732023321097</v>
      </c>
      <c r="AV43" s="70">
        <v>20.914999999999999</v>
      </c>
      <c r="AW43" s="71">
        <f t="shared" si="61"/>
        <v>0.30108687828402791</v>
      </c>
      <c r="AX43" s="70">
        <v>18.47</v>
      </c>
      <c r="AY43" s="71">
        <f t="shared" si="62"/>
        <v>0.26588929676815659</v>
      </c>
      <c r="AZ43" s="70">
        <v>16.048999999999999</v>
      </c>
      <c r="BA43" s="71">
        <f t="shared" si="63"/>
        <v>0.23103721298495644</v>
      </c>
      <c r="BB43" s="70">
        <v>15.227</v>
      </c>
      <c r="BC43" s="71">
        <f t="shared" si="64"/>
        <v>0.21920391564097028</v>
      </c>
      <c r="BD43" s="70">
        <v>14.1</v>
      </c>
      <c r="BE43" s="71">
        <f t="shared" si="65"/>
        <v>0.20297991794428846</v>
      </c>
      <c r="BF43" s="70">
        <f>SUM(BF33:BF42)</f>
        <v>12.849999999999998</v>
      </c>
      <c r="BG43" s="71">
        <f t="shared" si="66"/>
        <v>0.18498524436766714</v>
      </c>
      <c r="BH43" s="70">
        <f>SUM(BH33:BH42)</f>
        <v>17.507999999999999</v>
      </c>
      <c r="BI43" s="71">
        <f t="shared" si="67"/>
        <v>0.25204059598358886</v>
      </c>
      <c r="BJ43" s="72"/>
      <c r="BK43" s="73"/>
    </row>
    <row r="44" spans="1:63" ht="6" customHeight="1">
      <c r="A44" s="105"/>
      <c r="B44" s="105"/>
      <c r="C44" s="106"/>
      <c r="D44" s="107"/>
      <c r="E44" s="97"/>
      <c r="F44" s="97"/>
      <c r="G44" s="97"/>
      <c r="H44" s="97"/>
      <c r="I44" s="97"/>
      <c r="J44" s="97"/>
      <c r="K44" s="97"/>
      <c r="L44" s="108"/>
      <c r="M44" s="133"/>
      <c r="N44" s="133"/>
      <c r="O44" s="134"/>
      <c r="P44" s="134"/>
      <c r="Q44" s="134"/>
      <c r="R44" s="81"/>
      <c r="S44" s="82"/>
      <c r="T44" s="81"/>
      <c r="U44" s="82"/>
      <c r="V44" s="81"/>
      <c r="W44" s="82"/>
      <c r="X44" s="81"/>
      <c r="Y44" s="82"/>
      <c r="Z44" s="81"/>
      <c r="AA44" s="82"/>
      <c r="AB44" s="81"/>
      <c r="AC44" s="82"/>
      <c r="AD44" s="81"/>
      <c r="AE44" s="82"/>
      <c r="AF44" s="81"/>
      <c r="AG44" s="82"/>
      <c r="AH44" s="81"/>
      <c r="AI44" s="82"/>
      <c r="AJ44" s="81"/>
      <c r="AK44" s="82"/>
      <c r="AL44" s="81"/>
      <c r="AM44" s="82"/>
      <c r="AN44" s="81"/>
      <c r="AO44" s="82"/>
      <c r="AP44" s="81"/>
      <c r="AQ44" s="82"/>
      <c r="AR44" s="81"/>
      <c r="AS44" s="82"/>
      <c r="AT44" s="81"/>
      <c r="AU44" s="82"/>
      <c r="AV44" s="81"/>
      <c r="AW44" s="82"/>
      <c r="AX44" s="81"/>
      <c r="AY44" s="82"/>
      <c r="AZ44" s="81"/>
      <c r="BA44" s="82"/>
      <c r="BB44" s="81"/>
      <c r="BC44" s="82"/>
      <c r="BD44" s="81"/>
      <c r="BE44" s="82"/>
      <c r="BF44" s="81"/>
      <c r="BG44" s="82"/>
      <c r="BH44" s="81"/>
      <c r="BI44" s="82"/>
      <c r="BJ44" s="83"/>
    </row>
    <row r="45" spans="1:63" s="74" customFormat="1">
      <c r="A45" s="98" t="s">
        <v>118</v>
      </c>
      <c r="B45" s="39" t="s">
        <v>119</v>
      </c>
      <c r="C45" s="40">
        <v>3</v>
      </c>
      <c r="D45" s="99" t="s">
        <v>120</v>
      </c>
      <c r="E45" s="66">
        <v>8.1999999999999993</v>
      </c>
      <c r="F45" s="66">
        <v>8.1999999999999993</v>
      </c>
      <c r="G45" s="66">
        <v>8.1999999999999993</v>
      </c>
      <c r="H45" s="66">
        <v>8.1999999999999993</v>
      </c>
      <c r="I45" s="66">
        <v>8.1999999999999993</v>
      </c>
      <c r="J45" s="66">
        <v>8.1999999999999993</v>
      </c>
      <c r="K45" s="88">
        <v>8.1999999999999993</v>
      </c>
      <c r="L45" s="89">
        <v>8.1999999999999993</v>
      </c>
      <c r="M45" s="138">
        <v>8.1999999999999993</v>
      </c>
      <c r="N45" s="138">
        <v>8.1999999999999993</v>
      </c>
      <c r="O45" s="139">
        <v>8.1999999999999993</v>
      </c>
      <c r="P45" s="139">
        <v>8.1999999999999993</v>
      </c>
      <c r="Q45" s="139">
        <v>8.1999999999999993</v>
      </c>
      <c r="R45" s="140">
        <v>7.69</v>
      </c>
      <c r="S45" s="93">
        <f>R45/$Q45</f>
        <v>0.93780487804878065</v>
      </c>
      <c r="T45" s="140">
        <v>8.1999999999999993</v>
      </c>
      <c r="U45" s="93">
        <f>T45/$Q45</f>
        <v>1</v>
      </c>
      <c r="V45" s="140">
        <v>8.1999999999999993</v>
      </c>
      <c r="W45" s="93">
        <f>V45/$Q45</f>
        <v>1</v>
      </c>
      <c r="X45" s="140">
        <v>8.1999999999999993</v>
      </c>
      <c r="Y45" s="93">
        <f>X45/$Q45</f>
        <v>1</v>
      </c>
      <c r="Z45" s="140">
        <v>8.1999999999999993</v>
      </c>
      <c r="AA45" s="93">
        <f>Z45/$Q45</f>
        <v>1</v>
      </c>
      <c r="AB45" s="140">
        <v>7.98</v>
      </c>
      <c r="AC45" s="93">
        <f>AB45/$Q45</f>
        <v>0.97317073170731716</v>
      </c>
      <c r="AD45" s="140">
        <v>7.86</v>
      </c>
      <c r="AE45" s="93">
        <f>AD45/$Q45</f>
        <v>0.95853658536585373</v>
      </c>
      <c r="AF45" s="140">
        <v>7.54</v>
      </c>
      <c r="AG45" s="93">
        <f>AF45/$Q45</f>
        <v>0.91951219512195126</v>
      </c>
      <c r="AH45" s="140">
        <v>7.35</v>
      </c>
      <c r="AI45" s="93">
        <f>AH45/$Q45</f>
        <v>0.89634146341463417</v>
      </c>
      <c r="AJ45" s="140">
        <v>7.23</v>
      </c>
      <c r="AK45" s="93">
        <f>AJ45/$Q45</f>
        <v>0.88170731707317085</v>
      </c>
      <c r="AL45" s="140">
        <v>6.84</v>
      </c>
      <c r="AM45" s="93">
        <f>AL45/$Q45</f>
        <v>0.83414634146341471</v>
      </c>
      <c r="AN45" s="140">
        <v>6.61</v>
      </c>
      <c r="AO45" s="93">
        <f>AN45/$Q45</f>
        <v>0.80609756097560992</v>
      </c>
      <c r="AP45" s="140">
        <v>5.76</v>
      </c>
      <c r="AQ45" s="93">
        <f>AP45/$Q45</f>
        <v>0.70243902439024397</v>
      </c>
      <c r="AR45" s="140">
        <v>5.83</v>
      </c>
      <c r="AS45" s="93">
        <f>AR45/$Q45</f>
        <v>0.71097560975609764</v>
      </c>
      <c r="AT45" s="140">
        <v>5.66</v>
      </c>
      <c r="AU45" s="93">
        <f>AT45/$Q45</f>
        <v>0.69024390243902445</v>
      </c>
      <c r="AV45" s="140">
        <v>5.56</v>
      </c>
      <c r="AW45" s="93">
        <f>AV45/$Q45</f>
        <v>0.67804878048780493</v>
      </c>
      <c r="AX45" s="140">
        <v>5.49</v>
      </c>
      <c r="AY45" s="93">
        <f>AX45/$Q45</f>
        <v>0.66951219512195126</v>
      </c>
      <c r="AZ45" s="140">
        <v>5.49</v>
      </c>
      <c r="BA45" s="93">
        <f>AZ45/$Q45</f>
        <v>0.66951219512195126</v>
      </c>
      <c r="BB45" s="140">
        <v>5.49</v>
      </c>
      <c r="BC45" s="93">
        <f>BB45/$Q45</f>
        <v>0.66951219512195126</v>
      </c>
      <c r="BD45" s="140">
        <v>5.33</v>
      </c>
      <c r="BE45" s="93">
        <f>BD45/$Q45</f>
        <v>0.65</v>
      </c>
      <c r="BF45" s="140">
        <v>5.4</v>
      </c>
      <c r="BG45" s="93">
        <f>BF45/$Q45</f>
        <v>0.6585365853658538</v>
      </c>
      <c r="BH45" s="140">
        <v>5.53</v>
      </c>
      <c r="BI45" s="93">
        <f>BH45/$Q45</f>
        <v>0.67439024390243907</v>
      </c>
      <c r="BJ45" s="141" t="s">
        <v>121</v>
      </c>
      <c r="BK45" s="13"/>
    </row>
    <row r="46" spans="1:63" ht="5.25" customHeight="1">
      <c r="A46" s="105"/>
      <c r="B46" s="105"/>
      <c r="C46" s="106"/>
      <c r="D46" s="107"/>
      <c r="E46" s="97"/>
      <c r="F46" s="97"/>
      <c r="G46" s="97"/>
      <c r="H46" s="97"/>
      <c r="I46" s="97"/>
      <c r="J46" s="97"/>
      <c r="K46" s="97"/>
      <c r="L46" s="108"/>
      <c r="M46" s="133"/>
      <c r="N46" s="133"/>
      <c r="O46" s="134"/>
      <c r="P46" s="134"/>
      <c r="Q46" s="134"/>
      <c r="R46" s="81"/>
      <c r="S46" s="82"/>
      <c r="T46" s="81"/>
      <c r="U46" s="82"/>
      <c r="V46" s="81"/>
      <c r="W46" s="82"/>
      <c r="X46" s="81"/>
      <c r="Y46" s="82"/>
      <c r="Z46" s="81"/>
      <c r="AA46" s="82"/>
      <c r="AB46" s="81"/>
      <c r="AC46" s="82"/>
      <c r="AD46" s="81"/>
      <c r="AE46" s="82"/>
      <c r="AF46" s="81"/>
      <c r="AG46" s="82"/>
      <c r="AH46" s="81"/>
      <c r="AI46" s="82"/>
      <c r="AJ46" s="81"/>
      <c r="AK46" s="82"/>
      <c r="AL46" s="81"/>
      <c r="AM46" s="82"/>
      <c r="AN46" s="81"/>
      <c r="AO46" s="82"/>
      <c r="AP46" s="81"/>
      <c r="AQ46" s="82"/>
      <c r="AR46" s="81"/>
      <c r="AS46" s="82"/>
      <c r="AT46" s="81"/>
      <c r="AU46" s="82"/>
      <c r="AV46" s="81"/>
      <c r="AW46" s="82"/>
      <c r="AX46" s="81"/>
      <c r="AY46" s="82"/>
      <c r="AZ46" s="81"/>
      <c r="BA46" s="82"/>
      <c r="BB46" s="81"/>
      <c r="BC46" s="82"/>
      <c r="BD46" s="81"/>
      <c r="BE46" s="82"/>
      <c r="BF46" s="81"/>
      <c r="BG46" s="82"/>
      <c r="BH46" s="81"/>
      <c r="BI46" s="82"/>
      <c r="BJ46" s="83"/>
    </row>
    <row r="47" spans="1:63">
      <c r="A47" s="39" t="s">
        <v>122</v>
      </c>
      <c r="B47" s="39" t="s">
        <v>123</v>
      </c>
      <c r="C47" s="40">
        <v>10</v>
      </c>
      <c r="D47" s="99" t="s">
        <v>124</v>
      </c>
      <c r="E47" s="43">
        <v>11</v>
      </c>
      <c r="F47" s="43">
        <v>11</v>
      </c>
      <c r="G47" s="43">
        <v>11</v>
      </c>
      <c r="H47" s="43">
        <v>11</v>
      </c>
      <c r="I47" s="43">
        <v>11</v>
      </c>
      <c r="J47" s="43">
        <v>11</v>
      </c>
      <c r="K47" s="43">
        <v>10.9</v>
      </c>
      <c r="L47" s="44">
        <v>10.9</v>
      </c>
      <c r="M47" s="45">
        <v>10.9</v>
      </c>
      <c r="N47" s="45">
        <v>10.9</v>
      </c>
      <c r="O47" s="46">
        <v>10.9</v>
      </c>
      <c r="P47" s="46">
        <v>10.9</v>
      </c>
      <c r="Q47" s="142">
        <v>10.9</v>
      </c>
      <c r="R47" s="47">
        <v>9.3059999999999992</v>
      </c>
      <c r="S47" s="48">
        <f t="shared" ref="S47:S58" si="69">R47/$Q47</f>
        <v>0.85376146788990814</v>
      </c>
      <c r="T47" s="47">
        <v>10.824999999999999</v>
      </c>
      <c r="U47" s="48">
        <f t="shared" ref="U47:U58" si="70">T47/$Q47</f>
        <v>0.99311926605504575</v>
      </c>
      <c r="V47" s="47">
        <v>10.824999999999999</v>
      </c>
      <c r="W47" s="48">
        <f t="shared" ref="W47:W58" si="71">V47/$Q47</f>
        <v>0.99311926605504575</v>
      </c>
      <c r="X47" s="47">
        <v>10.821999999999999</v>
      </c>
      <c r="Y47" s="48">
        <f t="shared" ref="Y47:Y57" si="72">X47/$Q47</f>
        <v>0.99284403669724763</v>
      </c>
      <c r="Z47" s="47">
        <v>10.824999999999999</v>
      </c>
      <c r="AA47" s="48">
        <f t="shared" ref="AA47:AA58" si="73">Z47/$Q47</f>
        <v>0.99311926605504575</v>
      </c>
      <c r="AB47" s="47">
        <v>10.747</v>
      </c>
      <c r="AC47" s="48">
        <f t="shared" ref="AC47:AC57" si="74">AB47/$Q47</f>
        <v>0.98596330275229349</v>
      </c>
      <c r="AD47" s="47">
        <v>10.683999999999999</v>
      </c>
      <c r="AE47" s="48">
        <f t="shared" ref="AE47:AE58" si="75">AD47/$Q47</f>
        <v>0.98018348623853202</v>
      </c>
      <c r="AF47" s="47">
        <v>10.602</v>
      </c>
      <c r="AG47" s="48">
        <f t="shared" ref="AG47:AG58" si="76">AF47/$Q47</f>
        <v>0.97266055045871558</v>
      </c>
      <c r="AH47" s="47">
        <v>10.79</v>
      </c>
      <c r="AI47" s="48">
        <f t="shared" ref="AI47:AI58" si="77">AH47/$Q47</f>
        <v>0.98990825688073381</v>
      </c>
      <c r="AJ47" s="47">
        <v>10.099</v>
      </c>
      <c r="AK47" s="48">
        <f t="shared" ref="AK47:AK58" si="78">AJ47/$Q47</f>
        <v>0.92651376146788988</v>
      </c>
      <c r="AL47" s="47">
        <v>9.0619999999999994</v>
      </c>
      <c r="AM47" s="48">
        <f t="shared" ref="AM47:AM58" si="79">AL47/$Q47</f>
        <v>0.83137614678899074</v>
      </c>
      <c r="AN47" s="47">
        <v>7.617</v>
      </c>
      <c r="AO47" s="48">
        <f t="shared" ref="AO47:AO58" si="80">AN47/$Q47</f>
        <v>0.69880733944954121</v>
      </c>
      <c r="AP47" s="47">
        <v>7.1070000000000002</v>
      </c>
      <c r="AQ47" s="48">
        <f t="shared" ref="AQ47:AQ57" si="81">AP47/$Q47</f>
        <v>0.65201834862385322</v>
      </c>
      <c r="AR47" s="47">
        <v>5.5060000000000002</v>
      </c>
      <c r="AS47" s="48">
        <f t="shared" ref="AS47:AS58" si="82">AR47/$Q47</f>
        <v>0.50513761467889906</v>
      </c>
      <c r="AT47" s="47">
        <v>4.75</v>
      </c>
      <c r="AU47" s="48">
        <f t="shared" ref="AU47:AU58" si="83">AT47/$Q47</f>
        <v>0.43577981651376146</v>
      </c>
      <c r="AV47" s="47">
        <v>4.5220000000000002</v>
      </c>
      <c r="AW47" s="48">
        <f t="shared" ref="AW47:AW58" si="84">AV47/$Q47</f>
        <v>0.41486238532110092</v>
      </c>
      <c r="AX47" s="47">
        <v>4.3490000000000002</v>
      </c>
      <c r="AY47" s="48">
        <f t="shared" ref="AY47:AY58" si="85">AX47/$Q47</f>
        <v>0.39899082568807342</v>
      </c>
      <c r="AZ47" s="47">
        <v>4.2050000000000001</v>
      </c>
      <c r="BA47" s="48">
        <f t="shared" ref="BA47:BA58" si="86">AZ47/$Q47</f>
        <v>0.38577981651376148</v>
      </c>
      <c r="BB47" s="47">
        <v>4.1829999999999998</v>
      </c>
      <c r="BC47" s="48">
        <f t="shared" ref="BC47:BC58" si="87">BB47/$Q47</f>
        <v>0.38376146788990823</v>
      </c>
      <c r="BD47" s="47">
        <v>4.1029999999999998</v>
      </c>
      <c r="BE47" s="48">
        <f t="shared" ref="BE47:BE58" si="88">BD47/$Q47</f>
        <v>0.37642201834862382</v>
      </c>
      <c r="BF47" s="47">
        <v>4.03</v>
      </c>
      <c r="BG47" s="48">
        <f t="shared" ref="BG47:BG58" si="89">BF47/$Q47</f>
        <v>0.36972477064220183</v>
      </c>
      <c r="BH47" s="47">
        <v>3.879</v>
      </c>
      <c r="BI47" s="48">
        <f t="shared" ref="BI47:BI58" si="90">BH47/$Q47</f>
        <v>0.35587155963302752</v>
      </c>
      <c r="BJ47" s="37" t="s">
        <v>125</v>
      </c>
      <c r="BK47" s="143" t="s">
        <v>126</v>
      </c>
    </row>
    <row r="48" spans="1:63">
      <c r="A48" s="39" t="s">
        <v>122</v>
      </c>
      <c r="B48" s="39" t="s">
        <v>127</v>
      </c>
      <c r="C48" s="40">
        <v>8</v>
      </c>
      <c r="D48" s="99" t="s">
        <v>128</v>
      </c>
      <c r="E48" s="43">
        <v>18.8</v>
      </c>
      <c r="F48" s="43">
        <v>18.8</v>
      </c>
      <c r="G48" s="43">
        <v>18.8</v>
      </c>
      <c r="H48" s="43">
        <v>18.8</v>
      </c>
      <c r="I48" s="43">
        <v>18.8</v>
      </c>
      <c r="J48" s="43">
        <v>18.8</v>
      </c>
      <c r="K48" s="43">
        <v>18.8</v>
      </c>
      <c r="L48" s="44">
        <v>18.8</v>
      </c>
      <c r="M48" s="45">
        <v>18.8</v>
      </c>
      <c r="N48" s="45">
        <v>18.8</v>
      </c>
      <c r="O48" s="46">
        <v>18.8</v>
      </c>
      <c r="P48" s="46">
        <v>18.8</v>
      </c>
      <c r="Q48" s="46">
        <v>18.8</v>
      </c>
      <c r="R48" s="47">
        <v>16.545000000000002</v>
      </c>
      <c r="S48" s="48">
        <f t="shared" si="69"/>
        <v>0.88005319148936179</v>
      </c>
      <c r="T48" s="47">
        <v>17.212</v>
      </c>
      <c r="U48" s="48">
        <f t="shared" si="70"/>
        <v>0.91553191489361696</v>
      </c>
      <c r="V48" s="47">
        <v>17.661000000000001</v>
      </c>
      <c r="W48" s="48">
        <f t="shared" si="71"/>
        <v>0.93941489361702135</v>
      </c>
      <c r="X48" s="47">
        <v>17.46</v>
      </c>
      <c r="Y48" s="48">
        <f t="shared" si="72"/>
        <v>0.92872340425531918</v>
      </c>
      <c r="Z48" s="47">
        <v>18.071999999999999</v>
      </c>
      <c r="AA48" s="48">
        <f t="shared" si="73"/>
        <v>0.96127659574468072</v>
      </c>
      <c r="AB48" s="47">
        <v>17.748999999999999</v>
      </c>
      <c r="AC48" s="48">
        <f t="shared" si="74"/>
        <v>0.944095744680851</v>
      </c>
      <c r="AD48" s="47">
        <v>17.315999999999999</v>
      </c>
      <c r="AE48" s="48">
        <f t="shared" si="75"/>
        <v>0.921063829787234</v>
      </c>
      <c r="AF48" s="47">
        <v>16.506</v>
      </c>
      <c r="AG48" s="48">
        <f t="shared" si="76"/>
        <v>0.87797872340425531</v>
      </c>
      <c r="AH48" s="47">
        <v>16.222999999999999</v>
      </c>
      <c r="AI48" s="48">
        <f t="shared" si="77"/>
        <v>0.86292553191489352</v>
      </c>
      <c r="AJ48" s="47">
        <v>15.28</v>
      </c>
      <c r="AK48" s="48">
        <f t="shared" si="78"/>
        <v>0.81276595744680846</v>
      </c>
      <c r="AL48" s="47">
        <v>13.97</v>
      </c>
      <c r="AM48" s="48">
        <f t="shared" si="79"/>
        <v>0.74308510638297876</v>
      </c>
      <c r="AN48" s="47">
        <v>12.401</v>
      </c>
      <c r="AO48" s="48">
        <f t="shared" si="80"/>
        <v>0.65962765957446801</v>
      </c>
      <c r="AP48" s="47">
        <v>11.726000000000001</v>
      </c>
      <c r="AQ48" s="48">
        <f t="shared" si="81"/>
        <v>0.62372340425531914</v>
      </c>
      <c r="AR48" s="47">
        <v>10.968</v>
      </c>
      <c r="AS48" s="48">
        <f t="shared" si="82"/>
        <v>0.58340425531914897</v>
      </c>
      <c r="AT48" s="47">
        <v>10.55</v>
      </c>
      <c r="AU48" s="48">
        <f t="shared" si="83"/>
        <v>0.56117021276595747</v>
      </c>
      <c r="AV48" s="47">
        <v>10.028</v>
      </c>
      <c r="AW48" s="48">
        <f t="shared" si="84"/>
        <v>0.53340425531914892</v>
      </c>
      <c r="AX48" s="47">
        <v>9.6129999999999995</v>
      </c>
      <c r="AY48" s="48">
        <f t="shared" si="85"/>
        <v>0.51132978723404254</v>
      </c>
      <c r="AZ48" s="47">
        <v>9.2330000000000005</v>
      </c>
      <c r="BA48" s="48">
        <f t="shared" si="86"/>
        <v>0.49111702127659573</v>
      </c>
      <c r="BB48" s="47">
        <v>8.9060000000000006</v>
      </c>
      <c r="BC48" s="48">
        <f t="shared" si="87"/>
        <v>0.47372340425531917</v>
      </c>
      <c r="BD48" s="47">
        <v>8.5</v>
      </c>
      <c r="BE48" s="48">
        <f t="shared" si="88"/>
        <v>0.45212765957446804</v>
      </c>
      <c r="BF48" s="47">
        <v>8.1</v>
      </c>
      <c r="BG48" s="48">
        <f t="shared" si="89"/>
        <v>0.43085106382978722</v>
      </c>
      <c r="BH48" s="47">
        <v>7.68</v>
      </c>
      <c r="BI48" s="48">
        <f t="shared" si="90"/>
        <v>0.40851063829787232</v>
      </c>
      <c r="BJ48" s="37" t="s">
        <v>129</v>
      </c>
    </row>
    <row r="49" spans="1:63">
      <c r="A49" s="39" t="s">
        <v>122</v>
      </c>
      <c r="B49" s="39" t="s">
        <v>130</v>
      </c>
      <c r="C49" s="40">
        <v>35</v>
      </c>
      <c r="D49" s="99" t="s">
        <v>131</v>
      </c>
      <c r="E49" s="43">
        <v>7.8</v>
      </c>
      <c r="F49" s="43">
        <v>7.8</v>
      </c>
      <c r="G49" s="43">
        <v>7.8</v>
      </c>
      <c r="H49" s="43">
        <v>7.8</v>
      </c>
      <c r="I49" s="43">
        <v>7.8</v>
      </c>
      <c r="J49" s="43">
        <v>7.8</v>
      </c>
      <c r="K49" s="43">
        <v>7.8</v>
      </c>
      <c r="L49" s="44">
        <v>7.8</v>
      </c>
      <c r="M49" s="45">
        <v>7.8</v>
      </c>
      <c r="N49" s="45">
        <v>7.8</v>
      </c>
      <c r="O49" s="46">
        <v>7.8</v>
      </c>
      <c r="P49" s="46">
        <v>7.8</v>
      </c>
      <c r="Q49" s="46">
        <v>7.8</v>
      </c>
      <c r="R49" s="47">
        <v>7.7119999999999997</v>
      </c>
      <c r="S49" s="48">
        <f t="shared" si="69"/>
        <v>0.98871794871794871</v>
      </c>
      <c r="T49" s="47">
        <v>7.6589999999999998</v>
      </c>
      <c r="U49" s="48">
        <f t="shared" si="70"/>
        <v>0.9819230769230769</v>
      </c>
      <c r="V49" s="47">
        <v>7.7320000000000002</v>
      </c>
      <c r="W49" s="48">
        <f t="shared" si="71"/>
        <v>0.99128205128205138</v>
      </c>
      <c r="X49" s="47">
        <v>7.7320000000000002</v>
      </c>
      <c r="Y49" s="48">
        <f t="shared" si="72"/>
        <v>0.99128205128205138</v>
      </c>
      <c r="Z49" s="47">
        <v>7.7450000000000001</v>
      </c>
      <c r="AA49" s="48">
        <f t="shared" si="73"/>
        <v>0.99294871794871797</v>
      </c>
      <c r="AB49" s="47">
        <v>7.4279999999999999</v>
      </c>
      <c r="AC49" s="48">
        <f t="shared" si="74"/>
        <v>0.9523076923076923</v>
      </c>
      <c r="AD49" s="47">
        <v>7.1440000000000001</v>
      </c>
      <c r="AE49" s="48">
        <f t="shared" si="75"/>
        <v>0.91589743589743589</v>
      </c>
      <c r="AF49" s="47">
        <v>6.8029999999999999</v>
      </c>
      <c r="AG49" s="48">
        <f t="shared" si="76"/>
        <v>0.87217948717948723</v>
      </c>
      <c r="AH49" s="47">
        <v>6.4050000000000002</v>
      </c>
      <c r="AI49" s="48">
        <f t="shared" si="77"/>
        <v>0.82115384615384623</v>
      </c>
      <c r="AJ49" s="47">
        <v>6.2370000000000001</v>
      </c>
      <c r="AK49" s="48">
        <f t="shared" si="78"/>
        <v>0.79961538461538462</v>
      </c>
      <c r="AL49" s="47">
        <v>6.101</v>
      </c>
      <c r="AM49" s="48">
        <f t="shared" si="79"/>
        <v>0.78217948717948715</v>
      </c>
      <c r="AN49" s="47">
        <v>5.8339999999999996</v>
      </c>
      <c r="AO49" s="48">
        <f t="shared" si="80"/>
        <v>0.74794871794871787</v>
      </c>
      <c r="AP49" s="47">
        <v>5.6349999999999998</v>
      </c>
      <c r="AQ49" s="48">
        <f t="shared" si="81"/>
        <v>0.72243589743589742</v>
      </c>
      <c r="AR49" s="47">
        <v>5.1740000000000004</v>
      </c>
      <c r="AS49" s="48">
        <f t="shared" si="82"/>
        <v>0.66333333333333344</v>
      </c>
      <c r="AT49" s="47">
        <v>4.91</v>
      </c>
      <c r="AU49" s="48">
        <f t="shared" si="83"/>
        <v>0.62948717948717947</v>
      </c>
      <c r="AV49" s="47">
        <v>4.6740000000000004</v>
      </c>
      <c r="AW49" s="48">
        <f t="shared" si="84"/>
        <v>0.59923076923076934</v>
      </c>
      <c r="AX49" s="47">
        <v>4.5279999999999996</v>
      </c>
      <c r="AY49" s="48">
        <f t="shared" si="85"/>
        <v>0.58051282051282049</v>
      </c>
      <c r="AZ49" s="47">
        <v>4.4539999999999997</v>
      </c>
      <c r="BA49" s="48">
        <f t="shared" si="86"/>
        <v>0.57102564102564102</v>
      </c>
      <c r="BB49" s="47">
        <v>4.3559999999999999</v>
      </c>
      <c r="BC49" s="48">
        <f t="shared" si="87"/>
        <v>0.55846153846153845</v>
      </c>
      <c r="BD49" s="47">
        <v>4.2300000000000004</v>
      </c>
      <c r="BE49" s="48">
        <f t="shared" si="88"/>
        <v>0.54230769230769238</v>
      </c>
      <c r="BF49" s="47">
        <v>4.0999999999999996</v>
      </c>
      <c r="BG49" s="48">
        <f t="shared" si="89"/>
        <v>0.52564102564102566</v>
      </c>
      <c r="BH49" s="47">
        <v>4.1870000000000003</v>
      </c>
      <c r="BI49" s="48">
        <f t="shared" si="90"/>
        <v>0.53679487179487184</v>
      </c>
      <c r="BJ49" s="37" t="s">
        <v>129</v>
      </c>
    </row>
    <row r="50" spans="1:63">
      <c r="A50" s="39" t="s">
        <v>122</v>
      </c>
      <c r="B50" s="39" t="s">
        <v>132</v>
      </c>
      <c r="C50" s="40">
        <v>6</v>
      </c>
      <c r="D50" s="99" t="s">
        <v>132</v>
      </c>
      <c r="E50" s="43">
        <v>3.4</v>
      </c>
      <c r="F50" s="43">
        <v>3.4</v>
      </c>
      <c r="G50" s="43">
        <v>3.4</v>
      </c>
      <c r="H50" s="43">
        <v>3.4</v>
      </c>
      <c r="I50" s="43">
        <v>3.4</v>
      </c>
      <c r="J50" s="43">
        <v>3.4</v>
      </c>
      <c r="K50" s="43">
        <v>3.4</v>
      </c>
      <c r="L50" s="44">
        <v>3.4</v>
      </c>
      <c r="M50" s="45">
        <v>3.4</v>
      </c>
      <c r="N50" s="45">
        <v>3.4</v>
      </c>
      <c r="O50" s="46">
        <v>3.4</v>
      </c>
      <c r="P50" s="46">
        <v>3.4</v>
      </c>
      <c r="Q50" s="46">
        <v>3.4</v>
      </c>
      <c r="R50" s="47">
        <v>3.3780000000000001</v>
      </c>
      <c r="S50" s="48">
        <f t="shared" si="69"/>
        <v>0.99352941176470599</v>
      </c>
      <c r="T50" s="47">
        <v>3.335</v>
      </c>
      <c r="U50" s="48">
        <f t="shared" si="70"/>
        <v>0.98088235294117654</v>
      </c>
      <c r="V50" s="47">
        <v>3.31</v>
      </c>
      <c r="W50" s="48">
        <f t="shared" si="71"/>
        <v>0.97352941176470598</v>
      </c>
      <c r="X50" s="47">
        <v>3.3410000000000002</v>
      </c>
      <c r="Y50" s="48">
        <f t="shared" si="72"/>
        <v>0.98264705882352954</v>
      </c>
      <c r="Z50" s="47">
        <v>3.347</v>
      </c>
      <c r="AA50" s="48">
        <f t="shared" si="73"/>
        <v>0.98441176470588232</v>
      </c>
      <c r="AB50" s="47">
        <v>3.16</v>
      </c>
      <c r="AC50" s="48">
        <f t="shared" si="74"/>
        <v>0.92941176470588238</v>
      </c>
      <c r="AD50" s="47">
        <v>3.1080000000000001</v>
      </c>
      <c r="AE50" s="48">
        <f t="shared" si="75"/>
        <v>0.91411764705882359</v>
      </c>
      <c r="AF50" s="47">
        <v>2.9710000000000001</v>
      </c>
      <c r="AG50" s="48">
        <f t="shared" si="76"/>
        <v>0.87382352941176478</v>
      </c>
      <c r="AH50" s="47">
        <v>2.7890000000000001</v>
      </c>
      <c r="AI50" s="48">
        <f t="shared" si="77"/>
        <v>0.82029411764705884</v>
      </c>
      <c r="AJ50" s="47">
        <v>2.5950000000000002</v>
      </c>
      <c r="AK50" s="48">
        <f t="shared" si="78"/>
        <v>0.76323529411764712</v>
      </c>
      <c r="AL50" s="47">
        <v>1.7130000000000001</v>
      </c>
      <c r="AM50" s="48">
        <f t="shared" si="79"/>
        <v>0.50382352941176478</v>
      </c>
      <c r="AN50" s="47">
        <v>1.4630000000000001</v>
      </c>
      <c r="AO50" s="48">
        <f t="shared" si="80"/>
        <v>0.43029411764705888</v>
      </c>
      <c r="AP50" s="47">
        <v>1.1000000000000001</v>
      </c>
      <c r="AQ50" s="48">
        <f t="shared" si="81"/>
        <v>0.3235294117647059</v>
      </c>
      <c r="AR50" s="47">
        <v>1</v>
      </c>
      <c r="AS50" s="48">
        <f t="shared" si="82"/>
        <v>0.29411764705882354</v>
      </c>
      <c r="AT50" s="47">
        <v>0.79</v>
      </c>
      <c r="AU50" s="48">
        <f t="shared" si="83"/>
        <v>0.2323529411764706</v>
      </c>
      <c r="AV50" s="47">
        <v>0.746</v>
      </c>
      <c r="AW50" s="48">
        <f t="shared" si="84"/>
        <v>0.21941176470588236</v>
      </c>
      <c r="AX50" s="47">
        <v>0.70799999999999996</v>
      </c>
      <c r="AY50" s="48">
        <f t="shared" si="85"/>
        <v>0.20823529411764705</v>
      </c>
      <c r="AZ50" s="47">
        <v>0.65500000000000003</v>
      </c>
      <c r="BA50" s="48">
        <f t="shared" si="86"/>
        <v>0.19264705882352942</v>
      </c>
      <c r="BB50" s="47">
        <v>0.64600000000000002</v>
      </c>
      <c r="BC50" s="48">
        <f t="shared" si="87"/>
        <v>0.19</v>
      </c>
      <c r="BD50" s="47">
        <v>0.63</v>
      </c>
      <c r="BE50" s="48">
        <f t="shared" si="88"/>
        <v>0.18529411764705883</v>
      </c>
      <c r="BF50" s="47">
        <v>0.61</v>
      </c>
      <c r="BG50" s="48">
        <f t="shared" si="89"/>
        <v>0.17941176470588235</v>
      </c>
      <c r="BH50" s="47">
        <v>0.64600000000000002</v>
      </c>
      <c r="BI50" s="48">
        <f t="shared" si="90"/>
        <v>0.19</v>
      </c>
      <c r="BJ50" s="37" t="s">
        <v>133</v>
      </c>
      <c r="BK50" s="125"/>
    </row>
    <row r="51" spans="1:63">
      <c r="A51" s="39" t="s">
        <v>122</v>
      </c>
      <c r="B51" s="39" t="s">
        <v>134</v>
      </c>
      <c r="C51" s="40">
        <v>7</v>
      </c>
      <c r="D51" s="99" t="s">
        <v>135</v>
      </c>
      <c r="E51" s="43">
        <v>8.5</v>
      </c>
      <c r="F51" s="43">
        <v>8.5</v>
      </c>
      <c r="G51" s="43">
        <v>8.5</v>
      </c>
      <c r="H51" s="43">
        <v>8.5</v>
      </c>
      <c r="I51" s="43">
        <v>8.5</v>
      </c>
      <c r="J51" s="43">
        <v>8.5</v>
      </c>
      <c r="K51" s="43">
        <v>11.35</v>
      </c>
      <c r="L51" s="44">
        <v>11.35</v>
      </c>
      <c r="M51" s="45">
        <v>11.35</v>
      </c>
      <c r="N51" s="45">
        <v>11.35</v>
      </c>
      <c r="O51" s="46">
        <v>11.35</v>
      </c>
      <c r="P51" s="46">
        <v>11.35</v>
      </c>
      <c r="Q51" s="142">
        <v>11.35</v>
      </c>
      <c r="R51" s="47">
        <v>11.455</v>
      </c>
      <c r="S51" s="48">
        <f t="shared" si="69"/>
        <v>1.0092511013215859</v>
      </c>
      <c r="T51" s="47">
        <v>11.108000000000001</v>
      </c>
      <c r="U51" s="48">
        <f t="shared" si="70"/>
        <v>0.97867841409691636</v>
      </c>
      <c r="V51" s="47">
        <v>11.381</v>
      </c>
      <c r="W51" s="48">
        <f t="shared" si="71"/>
        <v>1.0027312775330397</v>
      </c>
      <c r="X51" s="47">
        <v>11.269</v>
      </c>
      <c r="Y51" s="48">
        <f t="shared" si="72"/>
        <v>0.99286343612334804</v>
      </c>
      <c r="Z51" s="47">
        <v>11.391999999999999</v>
      </c>
      <c r="AA51" s="48">
        <f t="shared" si="73"/>
        <v>1.0037004405286343</v>
      </c>
      <c r="AB51" s="47">
        <v>10.523999999999999</v>
      </c>
      <c r="AC51" s="48">
        <f t="shared" si="74"/>
        <v>0.92722466960352423</v>
      </c>
      <c r="AD51" s="47">
        <v>10.493</v>
      </c>
      <c r="AE51" s="48">
        <f t="shared" si="75"/>
        <v>0.92449339207048464</v>
      </c>
      <c r="AF51" s="47">
        <v>10.231999999999999</v>
      </c>
      <c r="AG51" s="48">
        <f t="shared" si="76"/>
        <v>0.90149779735682811</v>
      </c>
      <c r="AH51" s="47">
        <v>11.128</v>
      </c>
      <c r="AI51" s="48">
        <f t="shared" si="77"/>
        <v>0.98044052863436126</v>
      </c>
      <c r="AJ51" s="47">
        <v>9.41</v>
      </c>
      <c r="AK51" s="48">
        <f t="shared" si="78"/>
        <v>0.8290748898678415</v>
      </c>
      <c r="AL51" s="47">
        <v>8.9659999999999993</v>
      </c>
      <c r="AM51" s="48">
        <f t="shared" si="79"/>
        <v>0.78995594713656381</v>
      </c>
      <c r="AN51" s="47">
        <v>7.8440000000000003</v>
      </c>
      <c r="AO51" s="48">
        <f t="shared" si="80"/>
        <v>0.69110132158590309</v>
      </c>
      <c r="AP51" s="47">
        <v>7.6310000000000002</v>
      </c>
      <c r="AQ51" s="48">
        <f t="shared" si="81"/>
        <v>0.67233480176211458</v>
      </c>
      <c r="AR51" s="47">
        <v>7.3739999999999997</v>
      </c>
      <c r="AS51" s="48">
        <f t="shared" si="82"/>
        <v>0.64969162995594709</v>
      </c>
      <c r="AT51" s="47">
        <v>7.09</v>
      </c>
      <c r="AU51" s="48">
        <f t="shared" si="83"/>
        <v>0.62466960352422907</v>
      </c>
      <c r="AV51" s="47">
        <v>6.9640000000000004</v>
      </c>
      <c r="AW51" s="48">
        <f t="shared" si="84"/>
        <v>0.61356828193832602</v>
      </c>
      <c r="AX51" s="47">
        <v>6.8440000000000003</v>
      </c>
      <c r="AY51" s="48">
        <f t="shared" si="85"/>
        <v>0.60299559471365638</v>
      </c>
      <c r="AZ51" s="47">
        <v>6.4850000000000003</v>
      </c>
      <c r="BA51" s="48">
        <f t="shared" si="86"/>
        <v>0.57136563876651991</v>
      </c>
      <c r="BB51" s="47">
        <v>6.3650000000000002</v>
      </c>
      <c r="BC51" s="48">
        <f t="shared" si="87"/>
        <v>0.56079295154185027</v>
      </c>
      <c r="BD51" s="47">
        <v>6.1609999999999996</v>
      </c>
      <c r="BE51" s="48">
        <f t="shared" si="88"/>
        <v>0.54281938325991186</v>
      </c>
      <c r="BF51" s="47">
        <v>6.06</v>
      </c>
      <c r="BG51" s="48">
        <f t="shared" si="89"/>
        <v>0.533920704845815</v>
      </c>
      <c r="BH51" s="47">
        <v>6.5540000000000003</v>
      </c>
      <c r="BI51" s="48">
        <f t="shared" si="90"/>
        <v>0.57744493392070484</v>
      </c>
      <c r="BJ51" s="37" t="s">
        <v>125</v>
      </c>
      <c r="BK51" s="143" t="s">
        <v>136</v>
      </c>
    </row>
    <row r="52" spans="1:63">
      <c r="A52" s="39" t="s">
        <v>122</v>
      </c>
      <c r="B52" s="39" t="s">
        <v>137</v>
      </c>
      <c r="C52" s="40">
        <v>33</v>
      </c>
      <c r="D52" s="99" t="s">
        <v>138</v>
      </c>
      <c r="E52" s="43">
        <v>6.5</v>
      </c>
      <c r="F52" s="43">
        <v>6.5</v>
      </c>
      <c r="G52" s="43">
        <v>6.5</v>
      </c>
      <c r="H52" s="43">
        <v>6.5</v>
      </c>
      <c r="I52" s="43">
        <v>6.5</v>
      </c>
      <c r="J52" s="43">
        <v>6.5</v>
      </c>
      <c r="K52" s="43">
        <v>4.8</v>
      </c>
      <c r="L52" s="44">
        <v>4.8</v>
      </c>
      <c r="M52" s="45">
        <v>4.968</v>
      </c>
      <c r="N52" s="45">
        <v>4.968</v>
      </c>
      <c r="O52" s="46">
        <v>4.968</v>
      </c>
      <c r="P52" s="46">
        <v>4.968</v>
      </c>
      <c r="Q52" s="46">
        <v>4.968</v>
      </c>
      <c r="R52" s="47">
        <v>3.9</v>
      </c>
      <c r="S52" s="48">
        <f t="shared" si="69"/>
        <v>0.78502415458937191</v>
      </c>
      <c r="T52" s="47">
        <v>4.1280000000000001</v>
      </c>
      <c r="U52" s="48">
        <f t="shared" si="70"/>
        <v>0.83091787439613529</v>
      </c>
      <c r="V52" s="47">
        <v>4.33</v>
      </c>
      <c r="W52" s="48">
        <f t="shared" si="71"/>
        <v>0.87157809983896939</v>
      </c>
      <c r="X52" s="47">
        <v>4.4580000000000002</v>
      </c>
      <c r="Y52" s="48">
        <f t="shared" si="72"/>
        <v>0.89734299516908211</v>
      </c>
      <c r="Z52" s="47">
        <v>4.6580000000000004</v>
      </c>
      <c r="AA52" s="48">
        <f t="shared" si="73"/>
        <v>0.93760064412238331</v>
      </c>
      <c r="AB52" s="47">
        <v>4.5090000000000003</v>
      </c>
      <c r="AC52" s="48">
        <f t="shared" si="74"/>
        <v>0.90760869565217395</v>
      </c>
      <c r="AD52" s="47">
        <v>4.3250000000000002</v>
      </c>
      <c r="AE52" s="48">
        <f t="shared" si="75"/>
        <v>0.87057165861513697</v>
      </c>
      <c r="AF52" s="47">
        <v>4.0259999999999998</v>
      </c>
      <c r="AG52" s="48">
        <f t="shared" si="76"/>
        <v>0.81038647342995163</v>
      </c>
      <c r="AH52" s="47">
        <v>3.7639999999999998</v>
      </c>
      <c r="AI52" s="48">
        <f t="shared" si="77"/>
        <v>0.75764895330112714</v>
      </c>
      <c r="AJ52" s="47">
        <v>3.5649999999999999</v>
      </c>
      <c r="AK52" s="48">
        <f t="shared" si="78"/>
        <v>0.71759259259259256</v>
      </c>
      <c r="AL52" s="47">
        <v>3.2709999999999999</v>
      </c>
      <c r="AM52" s="48">
        <f t="shared" si="79"/>
        <v>0.65841384863123997</v>
      </c>
      <c r="AN52" s="47">
        <v>2.887</v>
      </c>
      <c r="AO52" s="48">
        <f t="shared" si="80"/>
        <v>0.5811191626409018</v>
      </c>
      <c r="AP52" s="123"/>
      <c r="AQ52" s="124">
        <f t="shared" si="81"/>
        <v>0</v>
      </c>
      <c r="AR52" s="47">
        <v>2.19</v>
      </c>
      <c r="AS52" s="48">
        <f t="shared" si="82"/>
        <v>0.44082125603864736</v>
      </c>
      <c r="AT52" s="47">
        <v>1.91</v>
      </c>
      <c r="AU52" s="48">
        <f t="shared" si="83"/>
        <v>0.38446054750402575</v>
      </c>
      <c r="AV52" s="47">
        <v>1.7</v>
      </c>
      <c r="AW52" s="48">
        <f t="shared" si="84"/>
        <v>0.34219001610305955</v>
      </c>
      <c r="AX52" s="47">
        <v>1.573</v>
      </c>
      <c r="AY52" s="48">
        <f t="shared" si="85"/>
        <v>0.31662640901771338</v>
      </c>
      <c r="AZ52" s="47">
        <v>1.5</v>
      </c>
      <c r="BA52" s="48">
        <f t="shared" si="86"/>
        <v>0.30193236714975846</v>
      </c>
      <c r="BB52" s="47">
        <v>1.4410000000000001</v>
      </c>
      <c r="BC52" s="48">
        <f t="shared" si="87"/>
        <v>0.29005636070853463</v>
      </c>
      <c r="BD52" s="47">
        <v>1.3660000000000001</v>
      </c>
      <c r="BE52" s="48">
        <f t="shared" si="88"/>
        <v>0.2749597423510467</v>
      </c>
      <c r="BF52" s="47">
        <v>1.244</v>
      </c>
      <c r="BG52" s="48">
        <f t="shared" si="89"/>
        <v>0.25040257648953301</v>
      </c>
      <c r="BH52" s="47">
        <v>1.331</v>
      </c>
      <c r="BI52" s="48">
        <f t="shared" si="90"/>
        <v>0.26791465378421897</v>
      </c>
      <c r="BJ52" s="37" t="s">
        <v>139</v>
      </c>
    </row>
    <row r="53" spans="1:63">
      <c r="A53" s="39" t="s">
        <v>122</v>
      </c>
      <c r="B53" s="39" t="s">
        <v>140</v>
      </c>
      <c r="C53" s="40">
        <v>4</v>
      </c>
      <c r="D53" s="99" t="s">
        <v>141</v>
      </c>
      <c r="E53" s="43">
        <v>15</v>
      </c>
      <c r="F53" s="43">
        <v>15</v>
      </c>
      <c r="G53" s="43">
        <v>15</v>
      </c>
      <c r="H53" s="43">
        <v>15</v>
      </c>
      <c r="I53" s="43">
        <v>15</v>
      </c>
      <c r="J53" s="43">
        <v>15</v>
      </c>
      <c r="K53" s="43">
        <v>15</v>
      </c>
      <c r="L53" s="44">
        <v>15</v>
      </c>
      <c r="M53" s="45">
        <v>15</v>
      </c>
      <c r="N53" s="45">
        <v>15</v>
      </c>
      <c r="O53" s="46">
        <v>15</v>
      </c>
      <c r="P53" s="46">
        <v>15</v>
      </c>
      <c r="Q53" s="46">
        <v>15</v>
      </c>
      <c r="R53" s="47">
        <v>13.3</v>
      </c>
      <c r="S53" s="48">
        <f t="shared" si="69"/>
        <v>0.88666666666666671</v>
      </c>
      <c r="T53" s="47">
        <v>15.097</v>
      </c>
      <c r="U53" s="48">
        <f t="shared" si="70"/>
        <v>1.0064666666666666</v>
      </c>
      <c r="V53" s="47">
        <v>15.127000000000001</v>
      </c>
      <c r="W53" s="48">
        <f t="shared" si="71"/>
        <v>1.0084666666666666</v>
      </c>
      <c r="X53" s="47">
        <v>15.097</v>
      </c>
      <c r="Y53" s="48">
        <f t="shared" si="72"/>
        <v>1.0064666666666666</v>
      </c>
      <c r="Z53" s="47">
        <v>15.106999999999999</v>
      </c>
      <c r="AA53" s="48">
        <f t="shared" si="73"/>
        <v>1.0071333333333332</v>
      </c>
      <c r="AB53" s="47">
        <v>14.9</v>
      </c>
      <c r="AC53" s="48">
        <f t="shared" si="74"/>
        <v>0.9933333333333334</v>
      </c>
      <c r="AD53" s="47">
        <v>14.414</v>
      </c>
      <c r="AE53" s="48">
        <f t="shared" si="75"/>
        <v>0.96093333333333331</v>
      </c>
      <c r="AF53" s="47">
        <v>13.581</v>
      </c>
      <c r="AG53" s="48">
        <f t="shared" si="76"/>
        <v>0.90539999999999998</v>
      </c>
      <c r="AH53" s="47">
        <v>14.772</v>
      </c>
      <c r="AI53" s="48">
        <f t="shared" si="77"/>
        <v>0.98480000000000001</v>
      </c>
      <c r="AJ53" s="47">
        <v>12.06</v>
      </c>
      <c r="AK53" s="48">
        <f t="shared" si="78"/>
        <v>0.80400000000000005</v>
      </c>
      <c r="AL53" s="47">
        <v>14.617000000000001</v>
      </c>
      <c r="AM53" s="48">
        <f t="shared" si="79"/>
        <v>0.9744666666666667</v>
      </c>
      <c r="AN53" s="47">
        <v>8.0399999999999991</v>
      </c>
      <c r="AO53" s="48">
        <f t="shared" si="80"/>
        <v>0.53599999999999992</v>
      </c>
      <c r="AP53" s="47">
        <v>7.7279999999999998</v>
      </c>
      <c r="AQ53" s="48">
        <f t="shared" si="81"/>
        <v>0.51519999999999999</v>
      </c>
      <c r="AR53" s="47">
        <v>4.3570000000000002</v>
      </c>
      <c r="AS53" s="48">
        <f t="shared" si="82"/>
        <v>0.29046666666666671</v>
      </c>
      <c r="AT53" s="47">
        <v>3.79</v>
      </c>
      <c r="AU53" s="48">
        <f t="shared" si="83"/>
        <v>0.25266666666666665</v>
      </c>
      <c r="AV53" s="47">
        <v>3.6349999999999998</v>
      </c>
      <c r="AW53" s="48">
        <f t="shared" si="84"/>
        <v>0.24233333333333332</v>
      </c>
      <c r="AX53" s="47">
        <v>3.2250000000000001</v>
      </c>
      <c r="AY53" s="48">
        <f t="shared" si="85"/>
        <v>0.215</v>
      </c>
      <c r="AZ53" s="47">
        <v>2.9580000000000002</v>
      </c>
      <c r="BA53" s="48">
        <f t="shared" si="86"/>
        <v>0.19720000000000001</v>
      </c>
      <c r="BB53" s="47">
        <v>2.5270000000000001</v>
      </c>
      <c r="BC53" s="48">
        <f t="shared" si="87"/>
        <v>0.16846666666666668</v>
      </c>
      <c r="BD53" s="47">
        <v>2.1040000000000001</v>
      </c>
      <c r="BE53" s="48">
        <f t="shared" si="88"/>
        <v>0.14026666666666668</v>
      </c>
      <c r="BF53" s="47">
        <v>2</v>
      </c>
      <c r="BG53" s="48">
        <f t="shared" si="89"/>
        <v>0.13333333333333333</v>
      </c>
      <c r="BH53" s="47">
        <v>1.3740000000000001</v>
      </c>
      <c r="BI53" s="48">
        <f t="shared" si="90"/>
        <v>9.1600000000000001E-2</v>
      </c>
      <c r="BJ53" s="37" t="s">
        <v>125</v>
      </c>
      <c r="BK53" s="125"/>
    </row>
    <row r="54" spans="1:63">
      <c r="A54" s="39" t="s">
        <v>122</v>
      </c>
      <c r="B54" s="39" t="s">
        <v>142</v>
      </c>
      <c r="C54" s="40">
        <v>5</v>
      </c>
      <c r="D54" s="99" t="s">
        <v>142</v>
      </c>
      <c r="E54" s="43">
        <v>3.2</v>
      </c>
      <c r="F54" s="43">
        <v>3.2</v>
      </c>
      <c r="G54" s="43">
        <v>3.2</v>
      </c>
      <c r="H54" s="43">
        <v>3.2</v>
      </c>
      <c r="I54" s="43">
        <v>3.2</v>
      </c>
      <c r="J54" s="43">
        <v>3.2</v>
      </c>
      <c r="K54" s="43">
        <v>3.2</v>
      </c>
      <c r="L54" s="44">
        <v>3.2</v>
      </c>
      <c r="M54" s="45">
        <v>3.2</v>
      </c>
      <c r="N54" s="45">
        <v>3.2</v>
      </c>
      <c r="O54" s="46">
        <v>3.2</v>
      </c>
      <c r="P54" s="46">
        <v>3.2</v>
      </c>
      <c r="Q54" s="46">
        <v>3.2</v>
      </c>
      <c r="R54" s="47">
        <v>1.9359999999999999</v>
      </c>
      <c r="S54" s="48">
        <f t="shared" si="69"/>
        <v>0.60499999999999998</v>
      </c>
      <c r="T54" s="47">
        <v>2.1709999999999998</v>
      </c>
      <c r="U54" s="48">
        <f t="shared" si="70"/>
        <v>0.67843749999999992</v>
      </c>
      <c r="V54" s="47">
        <v>2.145</v>
      </c>
      <c r="W54" s="48">
        <f t="shared" si="71"/>
        <v>0.67031249999999998</v>
      </c>
      <c r="X54" s="47">
        <v>2.2280000000000002</v>
      </c>
      <c r="Y54" s="48">
        <f t="shared" si="72"/>
        <v>0.69625000000000004</v>
      </c>
      <c r="Z54" s="47">
        <v>2.3029999999999999</v>
      </c>
      <c r="AA54" s="48">
        <f t="shared" si="73"/>
        <v>0.71968749999999992</v>
      </c>
      <c r="AB54" s="47">
        <v>2.14</v>
      </c>
      <c r="AC54" s="48">
        <f t="shared" si="74"/>
        <v>0.66874999999999996</v>
      </c>
      <c r="AD54" s="47">
        <v>2.105</v>
      </c>
      <c r="AE54" s="48">
        <f t="shared" si="75"/>
        <v>0.65781249999999991</v>
      </c>
      <c r="AF54" s="47">
        <v>2.0339999999999998</v>
      </c>
      <c r="AG54" s="48">
        <f t="shared" si="76"/>
        <v>0.63562499999999988</v>
      </c>
      <c r="AH54" s="47">
        <v>1.974</v>
      </c>
      <c r="AI54" s="48">
        <f t="shared" si="77"/>
        <v>0.61687499999999995</v>
      </c>
      <c r="AJ54" s="47">
        <v>1.877</v>
      </c>
      <c r="AK54" s="48">
        <f t="shared" si="78"/>
        <v>0.58656249999999999</v>
      </c>
      <c r="AL54" s="47">
        <v>1.6950000000000001</v>
      </c>
      <c r="AM54" s="48">
        <f t="shared" si="79"/>
        <v>0.52968749999999998</v>
      </c>
      <c r="AN54" s="47">
        <v>1.5820000000000001</v>
      </c>
      <c r="AO54" s="48">
        <f t="shared" si="80"/>
        <v>0.49437500000000001</v>
      </c>
      <c r="AP54" s="47">
        <v>1.39</v>
      </c>
      <c r="AQ54" s="48">
        <f t="shared" si="81"/>
        <v>0.43437499999999996</v>
      </c>
      <c r="AR54" s="47">
        <v>1.3</v>
      </c>
      <c r="AS54" s="48">
        <f t="shared" si="82"/>
        <v>0.40625</v>
      </c>
      <c r="AT54" s="47">
        <v>1.1499999999999999</v>
      </c>
      <c r="AU54" s="48">
        <f t="shared" si="83"/>
        <v>0.35937499999999994</v>
      </c>
      <c r="AV54" s="47">
        <v>1.0980000000000001</v>
      </c>
      <c r="AW54" s="48">
        <f t="shared" si="84"/>
        <v>0.34312500000000001</v>
      </c>
      <c r="AX54" s="47">
        <v>1.0620000000000001</v>
      </c>
      <c r="AY54" s="48">
        <f t="shared" si="85"/>
        <v>0.33187499999999998</v>
      </c>
      <c r="AZ54" s="47">
        <v>1.04</v>
      </c>
      <c r="BA54" s="48">
        <f t="shared" si="86"/>
        <v>0.32500000000000001</v>
      </c>
      <c r="BB54" s="47">
        <v>1.0720000000000001</v>
      </c>
      <c r="BC54" s="48">
        <f t="shared" si="87"/>
        <v>0.33500000000000002</v>
      </c>
      <c r="BD54" s="47">
        <v>1.0900000000000001</v>
      </c>
      <c r="BE54" s="48">
        <f t="shared" si="88"/>
        <v>0.34062500000000001</v>
      </c>
      <c r="BF54" s="47">
        <v>1.06</v>
      </c>
      <c r="BG54" s="48">
        <f t="shared" si="89"/>
        <v>0.33124999999999999</v>
      </c>
      <c r="BH54" s="47">
        <v>1.0580000000000001</v>
      </c>
      <c r="BI54" s="48">
        <f t="shared" si="90"/>
        <v>0.330625</v>
      </c>
      <c r="BJ54" s="37" t="s">
        <v>133</v>
      </c>
      <c r="BK54" s="125"/>
    </row>
    <row r="55" spans="1:63">
      <c r="A55" s="39" t="s">
        <v>122</v>
      </c>
      <c r="B55" s="39" t="s">
        <v>143</v>
      </c>
      <c r="C55" s="40" t="s">
        <v>144</v>
      </c>
      <c r="D55" s="99" t="s">
        <v>145</v>
      </c>
      <c r="E55" s="43"/>
      <c r="F55" s="43"/>
      <c r="G55" s="43"/>
      <c r="H55" s="43"/>
      <c r="I55" s="43"/>
      <c r="J55" s="43"/>
      <c r="K55" s="43"/>
      <c r="L55" s="44"/>
      <c r="M55" s="45"/>
      <c r="N55" s="45"/>
      <c r="O55" s="46"/>
      <c r="P55" s="46"/>
      <c r="Q55" s="46">
        <v>1.1579999999999999</v>
      </c>
      <c r="R55" s="123"/>
      <c r="S55" s="124">
        <f t="shared" si="69"/>
        <v>0</v>
      </c>
      <c r="T55" s="47">
        <v>1.1579999999999999</v>
      </c>
      <c r="U55" s="48">
        <f t="shared" si="70"/>
        <v>1</v>
      </c>
      <c r="V55" s="47">
        <v>1.1599999999999999</v>
      </c>
      <c r="W55" s="48">
        <f t="shared" si="71"/>
        <v>1.0017271157167531</v>
      </c>
      <c r="X55" s="47">
        <v>1.1579999999999999</v>
      </c>
      <c r="Y55" s="48">
        <f t="shared" si="72"/>
        <v>1</v>
      </c>
      <c r="Z55" s="47">
        <v>1.1579999999999999</v>
      </c>
      <c r="AA55" s="48">
        <f t="shared" si="73"/>
        <v>1</v>
      </c>
      <c r="AB55" s="47">
        <v>1.1579999999999999</v>
      </c>
      <c r="AC55" s="48">
        <f t="shared" si="74"/>
        <v>1</v>
      </c>
      <c r="AD55" s="47">
        <v>1.1000000000000001</v>
      </c>
      <c r="AE55" s="48">
        <f t="shared" si="75"/>
        <v>0.94991364421416247</v>
      </c>
      <c r="AF55" s="47">
        <v>1.1000000000000001</v>
      </c>
      <c r="AG55" s="48">
        <f t="shared" si="76"/>
        <v>0.94991364421416247</v>
      </c>
      <c r="AH55" s="47">
        <v>0.95</v>
      </c>
      <c r="AI55" s="48">
        <f t="shared" si="77"/>
        <v>0.82037996545768566</v>
      </c>
      <c r="AJ55" s="47">
        <v>0.83799999999999997</v>
      </c>
      <c r="AK55" s="48">
        <f t="shared" si="78"/>
        <v>0.72366148531951646</v>
      </c>
      <c r="AL55" s="47">
        <v>0.67</v>
      </c>
      <c r="AM55" s="48">
        <f t="shared" si="79"/>
        <v>0.57858376511226262</v>
      </c>
      <c r="AN55" s="47">
        <v>0.58499999999999996</v>
      </c>
      <c r="AO55" s="48">
        <f t="shared" si="80"/>
        <v>0.50518134715025909</v>
      </c>
      <c r="AP55" s="47">
        <v>0.38</v>
      </c>
      <c r="AQ55" s="48">
        <f t="shared" si="81"/>
        <v>0.32815198618307428</v>
      </c>
      <c r="AR55" s="47">
        <v>0.25</v>
      </c>
      <c r="AS55" s="48">
        <f t="shared" si="82"/>
        <v>0.21588946459412783</v>
      </c>
      <c r="AT55" s="47">
        <v>0.1</v>
      </c>
      <c r="AU55" s="48">
        <f t="shared" si="83"/>
        <v>8.6355785837651133E-2</v>
      </c>
      <c r="AV55" s="47">
        <v>8.7999999999999995E-2</v>
      </c>
      <c r="AW55" s="48">
        <f t="shared" si="84"/>
        <v>7.599309153713299E-2</v>
      </c>
      <c r="AX55" s="47">
        <v>7.0000000000000007E-2</v>
      </c>
      <c r="AY55" s="48">
        <f t="shared" si="85"/>
        <v>6.0449050086355795E-2</v>
      </c>
      <c r="AZ55" s="47">
        <v>5.0999999999999997E-2</v>
      </c>
      <c r="BA55" s="48">
        <f t="shared" si="86"/>
        <v>4.4041450777202069E-2</v>
      </c>
      <c r="BB55" s="47">
        <v>0.05</v>
      </c>
      <c r="BC55" s="48">
        <f t="shared" si="87"/>
        <v>4.3177892918825567E-2</v>
      </c>
      <c r="BD55" s="47">
        <v>4.4999999999999998E-2</v>
      </c>
      <c r="BE55" s="48">
        <f t="shared" si="88"/>
        <v>3.8860103626943004E-2</v>
      </c>
      <c r="BF55" s="47">
        <v>0.04</v>
      </c>
      <c r="BG55" s="48">
        <f t="shared" si="89"/>
        <v>3.4542314335060449E-2</v>
      </c>
      <c r="BH55" s="427"/>
      <c r="BI55" s="48">
        <f t="shared" si="90"/>
        <v>0</v>
      </c>
      <c r="BJ55" s="37" t="s">
        <v>146</v>
      </c>
      <c r="BK55" s="125"/>
    </row>
    <row r="56" spans="1:63">
      <c r="A56" s="39" t="s">
        <v>122</v>
      </c>
      <c r="B56" s="39" t="s">
        <v>147</v>
      </c>
      <c r="C56" s="40" t="s">
        <v>148</v>
      </c>
      <c r="D56" s="99" t="s">
        <v>147</v>
      </c>
      <c r="E56" s="43"/>
      <c r="F56" s="43"/>
      <c r="G56" s="43"/>
      <c r="H56" s="43"/>
      <c r="I56" s="43"/>
      <c r="J56" s="43"/>
      <c r="K56" s="43"/>
      <c r="L56" s="44"/>
      <c r="M56" s="45"/>
      <c r="N56" s="45"/>
      <c r="O56" s="46"/>
      <c r="P56" s="46"/>
      <c r="Q56" s="46">
        <v>0.78</v>
      </c>
      <c r="R56" s="47">
        <v>0.73799999999999999</v>
      </c>
      <c r="S56" s="48">
        <f t="shared" si="69"/>
        <v>0.94615384615384612</v>
      </c>
      <c r="T56" s="47">
        <v>0.75</v>
      </c>
      <c r="U56" s="48">
        <f t="shared" si="70"/>
        <v>0.96153846153846145</v>
      </c>
      <c r="V56" s="47">
        <v>0.75</v>
      </c>
      <c r="W56" s="48">
        <f t="shared" si="71"/>
        <v>0.96153846153846145</v>
      </c>
      <c r="X56" s="47">
        <v>0.75</v>
      </c>
      <c r="Y56" s="48">
        <f t="shared" si="72"/>
        <v>0.96153846153846145</v>
      </c>
      <c r="Z56" s="47">
        <v>0.75</v>
      </c>
      <c r="AA56" s="48">
        <f t="shared" si="73"/>
        <v>0.96153846153846145</v>
      </c>
      <c r="AB56" s="47">
        <v>0.75</v>
      </c>
      <c r="AC56" s="48">
        <f t="shared" si="74"/>
        <v>0.96153846153846145</v>
      </c>
      <c r="AD56" s="47">
        <v>0.75</v>
      </c>
      <c r="AE56" s="48">
        <f t="shared" si="75"/>
        <v>0.96153846153846145</v>
      </c>
      <c r="AF56" s="47">
        <v>0.73599999999999999</v>
      </c>
      <c r="AG56" s="48">
        <f t="shared" si="76"/>
        <v>0.94358974358974357</v>
      </c>
      <c r="AH56" s="47">
        <v>0.67</v>
      </c>
      <c r="AI56" s="48">
        <f t="shared" si="77"/>
        <v>0.85897435897435903</v>
      </c>
      <c r="AJ56" s="47">
        <v>0.64600000000000002</v>
      </c>
      <c r="AK56" s="48">
        <f t="shared" si="78"/>
        <v>0.82820512820512815</v>
      </c>
      <c r="AL56" s="47">
        <v>0.47499999999999998</v>
      </c>
      <c r="AM56" s="48">
        <f t="shared" si="79"/>
        <v>0.60897435897435892</v>
      </c>
      <c r="AN56" s="47">
        <v>0.4</v>
      </c>
      <c r="AO56" s="48">
        <f t="shared" si="80"/>
        <v>0.51282051282051289</v>
      </c>
      <c r="AP56" s="47">
        <v>0.28999999999999998</v>
      </c>
      <c r="AQ56" s="48">
        <f t="shared" si="81"/>
        <v>0.37179487179487175</v>
      </c>
      <c r="AR56" s="47">
        <v>0.26400000000000001</v>
      </c>
      <c r="AS56" s="48">
        <f t="shared" si="82"/>
        <v>0.33846153846153848</v>
      </c>
      <c r="AT56" s="47">
        <v>0.18</v>
      </c>
      <c r="AU56" s="48">
        <f t="shared" si="83"/>
        <v>0.23076923076923075</v>
      </c>
      <c r="AV56" s="47">
        <v>0.112</v>
      </c>
      <c r="AW56" s="48">
        <f t="shared" si="84"/>
        <v>0.14358974358974358</v>
      </c>
      <c r="AX56" s="47">
        <v>9.4E-2</v>
      </c>
      <c r="AY56" s="48">
        <f t="shared" si="85"/>
        <v>0.12051282051282051</v>
      </c>
      <c r="AZ56" s="47">
        <v>6.0999999999999999E-2</v>
      </c>
      <c r="BA56" s="48">
        <f t="shared" si="86"/>
        <v>7.8205128205128205E-2</v>
      </c>
      <c r="BB56" s="47">
        <v>5.1999999999999998E-2</v>
      </c>
      <c r="BC56" s="48">
        <f t="shared" si="87"/>
        <v>6.6666666666666666E-2</v>
      </c>
      <c r="BD56" s="47">
        <v>3.4000000000000002E-2</v>
      </c>
      <c r="BE56" s="48">
        <f t="shared" si="88"/>
        <v>4.3589743589743594E-2</v>
      </c>
      <c r="BF56" s="47">
        <v>0.02</v>
      </c>
      <c r="BG56" s="48">
        <f t="shared" si="89"/>
        <v>2.564102564102564E-2</v>
      </c>
      <c r="BH56" s="47">
        <v>0.03</v>
      </c>
      <c r="BI56" s="48">
        <f t="shared" si="90"/>
        <v>3.8461538461538457E-2</v>
      </c>
      <c r="BJ56" s="37" t="s">
        <v>133</v>
      </c>
      <c r="BK56" s="125"/>
    </row>
    <row r="57" spans="1:63">
      <c r="A57" s="39" t="s">
        <v>122</v>
      </c>
      <c r="B57" s="39" t="s">
        <v>149</v>
      </c>
      <c r="C57" s="40" t="s">
        <v>150</v>
      </c>
      <c r="D57" s="99" t="s">
        <v>151</v>
      </c>
      <c r="E57" s="43"/>
      <c r="F57" s="43"/>
      <c r="G57" s="43"/>
      <c r="H57" s="43"/>
      <c r="I57" s="43"/>
      <c r="J57" s="43"/>
      <c r="K57" s="43"/>
      <c r="L57" s="44"/>
      <c r="M57" s="45"/>
      <c r="N57" s="45"/>
      <c r="O57" s="46"/>
      <c r="P57" s="46"/>
      <c r="Q57" s="46">
        <v>0.64100000000000001</v>
      </c>
      <c r="R57" s="47">
        <v>0.64100000000000001</v>
      </c>
      <c r="S57" s="48">
        <f t="shared" si="69"/>
        <v>1</v>
      </c>
      <c r="T57" s="47">
        <v>0.64100000000000001</v>
      </c>
      <c r="U57" s="48">
        <f t="shared" si="70"/>
        <v>1</v>
      </c>
      <c r="V57" s="47">
        <v>0.64100000000000001</v>
      </c>
      <c r="W57" s="48">
        <f t="shared" si="71"/>
        <v>1</v>
      </c>
      <c r="X57" s="47">
        <v>0.64100000000000001</v>
      </c>
      <c r="Y57" s="48">
        <f t="shared" si="72"/>
        <v>1</v>
      </c>
      <c r="Z57" s="47">
        <v>0.64100000000000001</v>
      </c>
      <c r="AA57" s="48">
        <f t="shared" si="73"/>
        <v>1</v>
      </c>
      <c r="AB57" s="47">
        <v>0.64100000000000001</v>
      </c>
      <c r="AC57" s="48">
        <f t="shared" si="74"/>
        <v>1</v>
      </c>
      <c r="AD57" s="47">
        <v>0.64100000000000001</v>
      </c>
      <c r="AE57" s="48">
        <f t="shared" si="75"/>
        <v>1</v>
      </c>
      <c r="AF57" s="47">
        <v>0.64100000000000001</v>
      </c>
      <c r="AG57" s="48">
        <f t="shared" si="76"/>
        <v>1</v>
      </c>
      <c r="AH57" s="47">
        <v>0.64100000000000001</v>
      </c>
      <c r="AI57" s="48">
        <f t="shared" si="77"/>
        <v>1</v>
      </c>
      <c r="AJ57" s="47">
        <v>0.62</v>
      </c>
      <c r="AK57" s="48">
        <f t="shared" si="78"/>
        <v>0.96723868954758185</v>
      </c>
      <c r="AL57" s="47">
        <v>0.51600000000000001</v>
      </c>
      <c r="AM57" s="48">
        <f t="shared" si="79"/>
        <v>0.80499219968798752</v>
      </c>
      <c r="AN57" s="47">
        <v>0.46100000000000002</v>
      </c>
      <c r="AO57" s="48">
        <f t="shared" si="80"/>
        <v>0.71918876755070205</v>
      </c>
      <c r="AP57" s="47">
        <v>0.36</v>
      </c>
      <c r="AQ57" s="48">
        <f t="shared" si="81"/>
        <v>0.56162246489859591</v>
      </c>
      <c r="AR57" s="47">
        <v>0.32900000000000001</v>
      </c>
      <c r="AS57" s="48">
        <f t="shared" si="82"/>
        <v>0.51326053042121689</v>
      </c>
      <c r="AT57" s="47">
        <v>0.24</v>
      </c>
      <c r="AU57" s="48">
        <f t="shared" si="83"/>
        <v>0.37441497659906392</v>
      </c>
      <c r="AV57" s="47">
        <v>0.19700000000000001</v>
      </c>
      <c r="AW57" s="48">
        <f t="shared" si="84"/>
        <v>0.30733229329173167</v>
      </c>
      <c r="AX57" s="47">
        <v>0.16600000000000001</v>
      </c>
      <c r="AY57" s="48">
        <f t="shared" si="85"/>
        <v>0.2589703588143526</v>
      </c>
      <c r="AZ57" s="47">
        <v>0.115</v>
      </c>
      <c r="BA57" s="48">
        <f t="shared" si="86"/>
        <v>0.1794071762870515</v>
      </c>
      <c r="BB57" s="47">
        <v>0.115</v>
      </c>
      <c r="BC57" s="48">
        <f t="shared" si="87"/>
        <v>0.1794071762870515</v>
      </c>
      <c r="BD57" s="47">
        <v>0.106</v>
      </c>
      <c r="BE57" s="48">
        <f t="shared" si="88"/>
        <v>0.16536661466458658</v>
      </c>
      <c r="BF57" s="47">
        <v>0.09</v>
      </c>
      <c r="BG57" s="48">
        <f t="shared" si="89"/>
        <v>0.14040561622464898</v>
      </c>
      <c r="BH57" s="47">
        <v>0.04</v>
      </c>
      <c r="BI57" s="48">
        <f t="shared" si="90"/>
        <v>6.2402496099843996E-2</v>
      </c>
      <c r="BJ57" s="37" t="s">
        <v>133</v>
      </c>
      <c r="BK57" s="125"/>
    </row>
    <row r="58" spans="1:63" s="74" customFormat="1" ht="13.5" customHeight="1">
      <c r="A58" s="435" t="s">
        <v>152</v>
      </c>
      <c r="B58" s="435"/>
      <c r="C58" s="1"/>
      <c r="D58" s="144"/>
      <c r="E58" s="66">
        <f t="shared" ref="E58:O58" si="91">SUM(E47:E54)</f>
        <v>74.2</v>
      </c>
      <c r="F58" s="66">
        <f t="shared" si="91"/>
        <v>74.2</v>
      </c>
      <c r="G58" s="66">
        <f t="shared" si="91"/>
        <v>74.2</v>
      </c>
      <c r="H58" s="66">
        <f t="shared" si="91"/>
        <v>74.2</v>
      </c>
      <c r="I58" s="66">
        <f t="shared" si="91"/>
        <v>74.2</v>
      </c>
      <c r="J58" s="66">
        <f t="shared" si="91"/>
        <v>74.2</v>
      </c>
      <c r="K58" s="66">
        <f t="shared" si="91"/>
        <v>75.25</v>
      </c>
      <c r="L58" s="67">
        <f t="shared" si="91"/>
        <v>75.25</v>
      </c>
      <c r="M58" s="68">
        <f t="shared" si="91"/>
        <v>75.418000000000006</v>
      </c>
      <c r="N58" s="68">
        <f t="shared" si="91"/>
        <v>75.418000000000006</v>
      </c>
      <c r="O58" s="69">
        <f t="shared" si="91"/>
        <v>75.418000000000006</v>
      </c>
      <c r="P58" s="69">
        <v>75.418000000000006</v>
      </c>
      <c r="Q58" s="69">
        <f>SUM(Q47:Q57)</f>
        <v>77.997000000000014</v>
      </c>
      <c r="R58" s="70">
        <v>68.911000000000001</v>
      </c>
      <c r="S58" s="48">
        <f t="shared" si="69"/>
        <v>0.8835083400643613</v>
      </c>
      <c r="T58" s="70">
        <v>74.084000000000003</v>
      </c>
      <c r="U58" s="48">
        <f t="shared" si="70"/>
        <v>0.94983140377193986</v>
      </c>
      <c r="V58" s="70">
        <v>75.061999999999998</v>
      </c>
      <c r="W58" s="48">
        <f t="shared" si="71"/>
        <v>0.96237034757747075</v>
      </c>
      <c r="X58" s="70">
        <v>74.956000000000003</v>
      </c>
      <c r="Y58" s="48">
        <f>X58/($Q58)</f>
        <v>0.96101132094824149</v>
      </c>
      <c r="Z58" s="70">
        <v>75.998000000000005</v>
      </c>
      <c r="AA58" s="48">
        <f t="shared" si="73"/>
        <v>0.97437080913368457</v>
      </c>
      <c r="AB58" s="70">
        <v>73.706000000000003</v>
      </c>
      <c r="AC58" s="48">
        <f>AB58/($Q58)</f>
        <v>0.94498506352808431</v>
      </c>
      <c r="AD58" s="70">
        <v>72.08</v>
      </c>
      <c r="AE58" s="48">
        <f t="shared" si="75"/>
        <v>0.92413810787594375</v>
      </c>
      <c r="AF58" s="70">
        <v>69.231999999999999</v>
      </c>
      <c r="AG58" s="48">
        <f t="shared" si="76"/>
        <v>0.88762388296985761</v>
      </c>
      <c r="AH58" s="70">
        <v>70.105999999999995</v>
      </c>
      <c r="AI58" s="48">
        <f t="shared" si="77"/>
        <v>0.89882944215803151</v>
      </c>
      <c r="AJ58" s="70">
        <v>63.226999999999997</v>
      </c>
      <c r="AK58" s="48">
        <f t="shared" si="78"/>
        <v>0.81063374232342256</v>
      </c>
      <c r="AL58" s="70">
        <v>61.055999999999997</v>
      </c>
      <c r="AM58" s="48">
        <f t="shared" si="79"/>
        <v>0.78279933843609351</v>
      </c>
      <c r="AN58" s="70">
        <v>49.113999999999997</v>
      </c>
      <c r="AO58" s="48">
        <f t="shared" si="80"/>
        <v>0.62969088554687991</v>
      </c>
      <c r="AP58" s="70">
        <v>43.347000000000001</v>
      </c>
      <c r="AQ58" s="48">
        <f>AP58/($Q58-Q52)</f>
        <v>0.59355872324692927</v>
      </c>
      <c r="AR58" s="70">
        <v>38.712000000000003</v>
      </c>
      <c r="AS58" s="48">
        <f t="shared" si="82"/>
        <v>0.4963267817992999</v>
      </c>
      <c r="AT58" s="70">
        <v>35.46</v>
      </c>
      <c r="AU58" s="48">
        <f t="shared" si="83"/>
        <v>0.45463287049501899</v>
      </c>
      <c r="AV58" s="70">
        <v>33.764000000000003</v>
      </c>
      <c r="AW58" s="48">
        <f t="shared" si="84"/>
        <v>0.43288844442734975</v>
      </c>
      <c r="AX58" s="70">
        <v>32.231999999999999</v>
      </c>
      <c r="AY58" s="48">
        <f t="shared" si="85"/>
        <v>0.41324666333320503</v>
      </c>
      <c r="AZ58" s="70">
        <v>30.757000000000001</v>
      </c>
      <c r="BA58" s="48">
        <f t="shared" si="86"/>
        <v>0.39433567957741961</v>
      </c>
      <c r="BB58" s="70">
        <v>29.713000000000001</v>
      </c>
      <c r="BC58" s="48">
        <f t="shared" si="87"/>
        <v>0.38095054938010431</v>
      </c>
      <c r="BD58" s="70">
        <f>SUM(BD47:BD57)</f>
        <v>28.368999999999996</v>
      </c>
      <c r="BE58" s="48">
        <f t="shared" si="88"/>
        <v>0.36371911740195123</v>
      </c>
      <c r="BF58" s="70">
        <f>SUM(BF47:BF57)</f>
        <v>27.353999999999992</v>
      </c>
      <c r="BG58" s="48">
        <f t="shared" si="89"/>
        <v>0.35070579637678356</v>
      </c>
      <c r="BH58" s="70">
        <f>SUM(BH47:BH57)</f>
        <v>26.778999999999996</v>
      </c>
      <c r="BI58" s="48">
        <f>BH58/($Q58-Q55)</f>
        <v>0.348507919155637</v>
      </c>
      <c r="BJ58" s="145"/>
      <c r="BK58" s="146">
        <f>BF60-BF58</f>
        <v>67.516999999999996</v>
      </c>
    </row>
    <row r="59" spans="1:63" ht="4.5" customHeight="1">
      <c r="A59" s="147"/>
      <c r="B59" s="147"/>
      <c r="C59" s="148"/>
      <c r="D59" s="147"/>
      <c r="E59" s="107"/>
      <c r="F59" s="107"/>
      <c r="G59" s="107"/>
      <c r="H59" s="107"/>
      <c r="I59" s="107"/>
      <c r="J59" s="107"/>
      <c r="K59" s="107"/>
      <c r="L59" s="107"/>
      <c r="M59" s="149"/>
      <c r="N59" s="149"/>
      <c r="O59" s="150"/>
      <c r="P59" s="150"/>
      <c r="Q59" s="150"/>
      <c r="R59" s="81"/>
      <c r="S59" s="82"/>
      <c r="T59" s="81"/>
      <c r="U59" s="82"/>
      <c r="V59" s="81"/>
      <c r="W59" s="82"/>
      <c r="X59" s="81"/>
      <c r="Y59" s="82"/>
      <c r="Z59" s="81"/>
      <c r="AA59" s="82"/>
      <c r="AB59" s="81"/>
      <c r="AC59" s="82"/>
      <c r="AD59" s="81"/>
      <c r="AE59" s="82"/>
      <c r="AF59" s="81"/>
      <c r="AG59" s="82"/>
      <c r="AH59" s="81"/>
      <c r="AI59" s="82"/>
      <c r="AJ59" s="81"/>
      <c r="AK59" s="82"/>
      <c r="AL59" s="81"/>
      <c r="AM59" s="82"/>
      <c r="AN59" s="81"/>
      <c r="AO59" s="82"/>
      <c r="AP59" s="81"/>
      <c r="AQ59" s="82"/>
      <c r="AR59" s="81"/>
      <c r="AS59" s="82"/>
      <c r="AT59" s="81"/>
      <c r="AU59" s="82"/>
      <c r="AV59" s="81"/>
      <c r="AW59" s="82"/>
      <c r="AX59" s="81"/>
      <c r="AY59" s="82"/>
      <c r="AZ59" s="81"/>
      <c r="BA59" s="82"/>
      <c r="BB59" s="81"/>
      <c r="BC59" s="82"/>
      <c r="BD59" s="81"/>
      <c r="BE59" s="82"/>
      <c r="BF59" s="81"/>
      <c r="BG59" s="82"/>
      <c r="BH59" s="81"/>
      <c r="BI59" s="82"/>
    </row>
    <row r="60" spans="1:63" s="74" customFormat="1" ht="13.5" customHeight="1">
      <c r="A60" s="436" t="s">
        <v>153</v>
      </c>
      <c r="B60" s="436"/>
      <c r="C60" s="151"/>
      <c r="D60" s="152"/>
      <c r="E60" s="153">
        <f t="shared" ref="E60:O60" si="92">E58+E45+E43+E31+E18+E16+E14</f>
        <v>370.32099999999997</v>
      </c>
      <c r="F60" s="154">
        <f t="shared" si="92"/>
        <v>383.86099999999999</v>
      </c>
      <c r="G60" s="154">
        <f t="shared" si="92"/>
        <v>381.1</v>
      </c>
      <c r="H60" s="154">
        <f t="shared" si="92"/>
        <v>381.1</v>
      </c>
      <c r="I60" s="154">
        <f t="shared" si="92"/>
        <v>381.1</v>
      </c>
      <c r="J60" s="154">
        <f t="shared" si="92"/>
        <v>381.1</v>
      </c>
      <c r="K60" s="154">
        <f t="shared" si="92"/>
        <v>379.62000000000006</v>
      </c>
      <c r="L60" s="155">
        <f t="shared" si="92"/>
        <v>379.62000000000006</v>
      </c>
      <c r="M60" s="90">
        <f t="shared" si="92"/>
        <v>380.32800000000009</v>
      </c>
      <c r="N60" s="90">
        <f t="shared" si="92"/>
        <v>380.19049999999999</v>
      </c>
      <c r="O60" s="91">
        <f t="shared" si="92"/>
        <v>380.76049999999998</v>
      </c>
      <c r="P60" s="91">
        <v>380.76049999999998</v>
      </c>
      <c r="Q60" s="91">
        <f>Q58+Q45+Q43+Q31+Q18+Q16+Q14</f>
        <v>389.48949999999996</v>
      </c>
      <c r="R60" s="92">
        <v>288.76100000000002</v>
      </c>
      <c r="S60" s="93">
        <f>R60/($Q60)</f>
        <v>0.74138327220631117</v>
      </c>
      <c r="T60" s="92">
        <v>333.875</v>
      </c>
      <c r="U60" s="93">
        <f>T60/($Q60)</f>
        <v>0.85721181187169371</v>
      </c>
      <c r="V60" s="92">
        <v>344.661</v>
      </c>
      <c r="W60" s="93">
        <f>V60/($Q60)</f>
        <v>0.8849044711089773</v>
      </c>
      <c r="X60" s="92">
        <v>355.726</v>
      </c>
      <c r="Y60" s="93">
        <f>X60/($Q60)</f>
        <v>0.91331345260912045</v>
      </c>
      <c r="Z60" s="92">
        <v>370.58699999999999</v>
      </c>
      <c r="AA60" s="93">
        <f>Z60/($Q60)</f>
        <v>0.95146852482544464</v>
      </c>
      <c r="AB60" s="92">
        <v>369.84800000000001</v>
      </c>
      <c r="AC60" s="93">
        <f>AB60/($Q60)</f>
        <v>0.94957116944102482</v>
      </c>
      <c r="AD60" s="92">
        <v>360.63499999999999</v>
      </c>
      <c r="AE60" s="93">
        <f>AD60/($Q60)</f>
        <v>0.92591712998681619</v>
      </c>
      <c r="AF60" s="92">
        <v>356.29300000000001</v>
      </c>
      <c r="AG60" s="93">
        <f>AF60/($Q60)</f>
        <v>0.91476920430460906</v>
      </c>
      <c r="AH60" s="92">
        <v>342.02499999999998</v>
      </c>
      <c r="AI60" s="93">
        <f>AH60/($Q60)</f>
        <v>0.87813663782977469</v>
      </c>
      <c r="AJ60" s="92">
        <v>316.40100000000001</v>
      </c>
      <c r="AK60" s="93">
        <f>AJ60/($Q60)</f>
        <v>0.81234795803224491</v>
      </c>
      <c r="AL60" s="92">
        <v>282.96800000000002</v>
      </c>
      <c r="AM60" s="93">
        <f>AL60/($Q60)</f>
        <v>0.72650995726457335</v>
      </c>
      <c r="AN60" s="92">
        <v>224.69399999999999</v>
      </c>
      <c r="AO60" s="93">
        <f>AN60/($Q60)</f>
        <v>0.57689360046933236</v>
      </c>
      <c r="AP60" s="92">
        <v>192.642</v>
      </c>
      <c r="AQ60" s="93">
        <f>AP60/($Q60-Q52)</f>
        <v>0.50099149202320292</v>
      </c>
      <c r="AR60" s="92">
        <v>149.18100000000001</v>
      </c>
      <c r="AS60" s="93">
        <f>AR60/($Q60-Q16)</f>
        <v>0.40506449410042922</v>
      </c>
      <c r="AT60" s="92">
        <v>141.30000000000001</v>
      </c>
      <c r="AU60" s="93">
        <f>AT60/($Q60)</f>
        <v>0.36278256538366255</v>
      </c>
      <c r="AV60" s="92">
        <v>131.15600000000001</v>
      </c>
      <c r="AW60" s="93">
        <f>AV60/($Q60)</f>
        <v>0.33673821758994793</v>
      </c>
      <c r="AX60" s="92">
        <v>120.21599999999999</v>
      </c>
      <c r="AY60" s="93">
        <f>AX60/($Q60)</f>
        <v>0.30865016900327225</v>
      </c>
      <c r="AZ60" s="92">
        <v>110.492</v>
      </c>
      <c r="BA60" s="93">
        <f>AZ60/($Q60)</f>
        <v>0.28368415579880846</v>
      </c>
      <c r="BB60" s="92">
        <v>105.396</v>
      </c>
      <c r="BC60" s="93">
        <f>BB60/($Q60)</f>
        <v>0.27060036278256538</v>
      </c>
      <c r="BD60" s="92">
        <f>BD58+BD45+BD43+BD31+BD18+BD16+BD14</f>
        <v>100.834</v>
      </c>
      <c r="BE60" s="93">
        <f>BD60/($Q60)</f>
        <v>0.25888759517265553</v>
      </c>
      <c r="BF60" s="92">
        <f>BF58+BF45+BF43+BF31+BF18+BF16+BF14</f>
        <v>94.870999999999981</v>
      </c>
      <c r="BG60" s="93">
        <f>BF60/($Q60)</f>
        <v>0.24357781146860183</v>
      </c>
      <c r="BH60" s="92">
        <f>BH58+BH45+BH43+BH31+BH18+BH16+BH14</f>
        <v>106.30100000000002</v>
      </c>
      <c r="BI60" s="93">
        <f>BH60/($Q60)</f>
        <v>0.27292391707607017</v>
      </c>
      <c r="BJ60" s="156"/>
      <c r="BK60" s="73"/>
    </row>
    <row r="61" spans="1:63" s="157" customFormat="1" ht="27" customHeight="1">
      <c r="C61" s="158"/>
      <c r="V61" s="159">
        <f>V60-R60</f>
        <v>55.899999999999977</v>
      </c>
      <c r="Z61" s="159">
        <f>Z60-V60</f>
        <v>25.925999999999988</v>
      </c>
      <c r="AB61" s="159">
        <f>AB60-$Z$60</f>
        <v>-0.7389999999999759</v>
      </c>
      <c r="AD61" s="159">
        <f>AD60-$Z$60</f>
        <v>-9.9519999999999982</v>
      </c>
      <c r="AE61" s="159"/>
      <c r="AF61" s="159">
        <f>AF60-$Z$60</f>
        <v>-14.293999999999983</v>
      </c>
      <c r="AH61" s="159">
        <f>AH60-$Z$60</f>
        <v>-28.562000000000012</v>
      </c>
      <c r="AJ61" s="159">
        <f>AJ60-$Z$60</f>
        <v>-54.185999999999979</v>
      </c>
      <c r="AK61" s="159"/>
      <c r="AL61" s="159">
        <f>AL60-$Z$60</f>
        <v>-87.618999999999971</v>
      </c>
      <c r="AM61" s="159"/>
      <c r="AN61" s="159">
        <f>AN60-$Z$60</f>
        <v>-145.893</v>
      </c>
      <c r="AO61" s="159"/>
      <c r="AP61" s="159">
        <f>AP60-$Z$60</f>
        <v>-177.94499999999999</v>
      </c>
      <c r="AQ61" s="159"/>
      <c r="AR61" s="159">
        <f>AR60-$Z$60</f>
        <v>-221.40599999999998</v>
      </c>
      <c r="AS61" s="159"/>
      <c r="AT61" s="159">
        <f>AT60-$Z$60</f>
        <v>-229.28699999999998</v>
      </c>
      <c r="AU61" s="159"/>
      <c r="AV61" s="159">
        <f>AV60-$Z$60</f>
        <v>-239.43099999999998</v>
      </c>
      <c r="AW61" s="159"/>
      <c r="AX61" s="159">
        <f>AX60-$Z$60</f>
        <v>-250.37099999999998</v>
      </c>
      <c r="AY61" s="159"/>
      <c r="AZ61" s="159">
        <f>AZ60-$Z$60</f>
        <v>-260.09499999999997</v>
      </c>
      <c r="BA61" s="159"/>
      <c r="BB61" s="159">
        <f>BB60-$Z$60</f>
        <v>-265.19099999999997</v>
      </c>
      <c r="BC61" s="159"/>
      <c r="BD61" s="159">
        <f>BD60-$Z$60</f>
        <v>-269.75299999999999</v>
      </c>
      <c r="BE61" s="159"/>
      <c r="BF61" s="159">
        <f>BF60-$Z$60</f>
        <v>-275.71600000000001</v>
      </c>
      <c r="BG61" s="159"/>
      <c r="BH61" s="159">
        <f>BH60-$Z$60</f>
        <v>-264.28599999999994</v>
      </c>
      <c r="BI61" s="159"/>
      <c r="BJ61" s="160" t="s">
        <v>154</v>
      </c>
    </row>
    <row r="62" spans="1:63">
      <c r="A62" s="161" t="s">
        <v>155</v>
      </c>
      <c r="X62" s="162"/>
      <c r="Y62" s="163"/>
      <c r="Z62" s="162">
        <f>Z60-Z60</f>
        <v>0</v>
      </c>
      <c r="AA62" s="163"/>
      <c r="AB62" s="162">
        <f>Z60-AB60</f>
        <v>0.7389999999999759</v>
      </c>
      <c r="AC62" s="162"/>
      <c r="AD62" s="162"/>
      <c r="AE62" s="162"/>
      <c r="AF62" s="162"/>
      <c r="AG62" s="162"/>
      <c r="AH62" s="162">
        <f>AB60-AH60</f>
        <v>27.823000000000036</v>
      </c>
      <c r="AI62" s="162"/>
      <c r="AN62" s="162">
        <f>AH60-AN60</f>
        <v>117.33099999999999</v>
      </c>
      <c r="AO62" s="164"/>
      <c r="AP62" s="164"/>
      <c r="AQ62" s="164"/>
      <c r="AR62" s="164"/>
      <c r="AS62" s="164"/>
      <c r="AT62" s="162">
        <f>AN60-AT60</f>
        <v>83.393999999999977</v>
      </c>
      <c r="AU62" s="164"/>
      <c r="AV62" s="164"/>
      <c r="AW62" s="164"/>
      <c r="AX62" s="164"/>
      <c r="AY62" s="164"/>
      <c r="AZ62" s="162">
        <f>AT60-AZ60</f>
        <v>30.808000000000007</v>
      </c>
      <c r="BA62" s="162"/>
      <c r="BB62" s="162"/>
      <c r="BC62" s="162"/>
      <c r="BD62" s="162"/>
      <c r="BE62" s="162"/>
      <c r="BF62" s="162">
        <f>AZ60-BF60</f>
        <v>15.621000000000024</v>
      </c>
      <c r="BG62" s="162"/>
      <c r="BH62" s="162">
        <f>BF60-BH60</f>
        <v>-11.430000000000035</v>
      </c>
      <c r="BI62" s="162"/>
      <c r="BJ62" s="160" t="s">
        <v>156</v>
      </c>
    </row>
    <row r="63" spans="1:63" ht="73.5" customHeight="1">
      <c r="A63" s="165" t="s">
        <v>19</v>
      </c>
      <c r="B63" s="166" t="s">
        <v>20</v>
      </c>
      <c r="C63" s="166" t="s">
        <v>21</v>
      </c>
      <c r="D63" s="167" t="s">
        <v>22</v>
      </c>
      <c r="E63" s="168" t="s">
        <v>157</v>
      </c>
      <c r="F63" s="169" t="s">
        <v>158</v>
      </c>
      <c r="G63" s="169" t="s">
        <v>159</v>
      </c>
      <c r="H63" s="169" t="s">
        <v>160</v>
      </c>
      <c r="I63" s="169" t="s">
        <v>161</v>
      </c>
      <c r="J63" s="169" t="s">
        <v>162</v>
      </c>
      <c r="K63" s="169" t="s">
        <v>163</v>
      </c>
      <c r="L63" s="170" t="s">
        <v>164</v>
      </c>
      <c r="M63" s="171" t="s">
        <v>165</v>
      </c>
      <c r="N63" s="171" t="s">
        <v>166</v>
      </c>
      <c r="O63" s="172" t="s">
        <v>167</v>
      </c>
      <c r="P63" s="172" t="s">
        <v>168</v>
      </c>
      <c r="Q63" s="172" t="s">
        <v>169</v>
      </c>
      <c r="R63" s="173"/>
      <c r="S63" s="174">
        <v>44562</v>
      </c>
      <c r="T63" s="173"/>
      <c r="U63" s="174">
        <v>44593</v>
      </c>
      <c r="V63" s="173">
        <v>44621</v>
      </c>
      <c r="W63" s="174"/>
      <c r="X63" s="173">
        <v>44652</v>
      </c>
      <c r="Y63" s="174"/>
      <c r="Z63" s="173">
        <v>44682</v>
      </c>
      <c r="AA63" s="174"/>
      <c r="AB63" s="173">
        <v>44713</v>
      </c>
      <c r="AC63" s="174"/>
      <c r="AD63" s="173">
        <v>44722</v>
      </c>
      <c r="AE63" s="174"/>
      <c r="AF63" s="173">
        <v>44732</v>
      </c>
      <c r="AG63" s="174"/>
      <c r="AH63" s="173">
        <v>44743</v>
      </c>
      <c r="AI63" s="174"/>
      <c r="AJ63" s="173">
        <v>44752</v>
      </c>
      <c r="AK63" s="174"/>
      <c r="AL63" s="173">
        <v>44762</v>
      </c>
      <c r="AM63" s="174"/>
      <c r="AN63" s="173"/>
      <c r="AO63" s="174">
        <v>44774</v>
      </c>
      <c r="AP63" s="173"/>
      <c r="AQ63" s="174">
        <v>44783</v>
      </c>
      <c r="AR63" s="173"/>
      <c r="AS63" s="174">
        <v>44793</v>
      </c>
      <c r="AT63" s="173"/>
      <c r="AU63" s="174">
        <v>44805</v>
      </c>
      <c r="AV63" s="173"/>
      <c r="AW63" s="174">
        <v>44814</v>
      </c>
      <c r="AX63" s="173"/>
      <c r="AY63" s="174">
        <v>44824</v>
      </c>
      <c r="AZ63" s="173"/>
      <c r="BA63" s="174">
        <v>44835</v>
      </c>
      <c r="BB63" s="173"/>
      <c r="BC63" s="174">
        <v>44844</v>
      </c>
      <c r="BD63" s="173"/>
      <c r="BE63" s="174">
        <v>44854</v>
      </c>
      <c r="BF63" s="173"/>
      <c r="BG63" s="174">
        <v>44866</v>
      </c>
      <c r="BH63" s="173"/>
      <c r="BI63" s="174">
        <v>44896</v>
      </c>
      <c r="BJ63" s="175" t="s">
        <v>36</v>
      </c>
      <c r="BK63" s="176" t="s">
        <v>170</v>
      </c>
    </row>
    <row r="64" spans="1:63">
      <c r="A64" s="177" t="s">
        <v>122</v>
      </c>
      <c r="B64" s="178" t="s">
        <v>171</v>
      </c>
      <c r="C64" s="179" t="s">
        <v>172</v>
      </c>
      <c r="D64" s="180" t="s">
        <v>173</v>
      </c>
      <c r="E64" s="43"/>
      <c r="F64" s="43"/>
      <c r="G64" s="43"/>
      <c r="H64" s="43"/>
      <c r="I64" s="43"/>
      <c r="J64" s="43"/>
      <c r="K64" s="43"/>
      <c r="L64" s="44"/>
      <c r="M64" s="45"/>
      <c r="N64" s="45"/>
      <c r="O64" s="46"/>
      <c r="P64" s="181"/>
      <c r="Q64" s="181">
        <v>1.1000000000000001</v>
      </c>
      <c r="R64" s="182"/>
      <c r="S64" s="183"/>
      <c r="T64" s="182"/>
      <c r="U64" s="183"/>
      <c r="V64" s="182"/>
      <c r="W64" s="183"/>
      <c r="X64" s="182"/>
      <c r="Y64" s="183"/>
      <c r="Z64" s="182"/>
      <c r="AA64" s="183"/>
      <c r="AB64" s="182"/>
      <c r="AC64" s="183"/>
      <c r="AD64" s="182"/>
      <c r="AE64" s="183"/>
      <c r="AF64" s="182"/>
      <c r="AG64" s="183"/>
      <c r="AH64" s="184">
        <v>1.1000000000000001</v>
      </c>
      <c r="AI64" s="48">
        <f>AH64/$Q64</f>
        <v>1</v>
      </c>
      <c r="AJ64" s="184">
        <v>1.1000000000000001</v>
      </c>
      <c r="AK64" s="48">
        <f>AJ64/$Q64</f>
        <v>1</v>
      </c>
      <c r="AL64" s="184">
        <v>0.371</v>
      </c>
      <c r="AM64" s="48">
        <f>AL64/$Q64</f>
        <v>0.33727272727272722</v>
      </c>
      <c r="AN64" s="184">
        <v>0.1</v>
      </c>
      <c r="AO64" s="48">
        <f>AN64/$Q64</f>
        <v>9.0909090909090912E-2</v>
      </c>
      <c r="AP64" s="47">
        <v>0.1</v>
      </c>
      <c r="AQ64" s="48">
        <f>AP64/$Q64</f>
        <v>9.0909090909090912E-2</v>
      </c>
      <c r="AR64" s="47">
        <v>0.1</v>
      </c>
      <c r="AS64" s="48">
        <f>AR64/$Q64</f>
        <v>9.0909090909090912E-2</v>
      </c>
      <c r="AT64" s="47">
        <v>0.04</v>
      </c>
      <c r="AU64" s="48">
        <f t="shared" ref="AU64:AU71" si="93">AT64/$Q64</f>
        <v>3.6363636363636362E-2</v>
      </c>
      <c r="AV64" s="47">
        <v>0</v>
      </c>
      <c r="AW64" s="48">
        <f>AV64/$Q64</f>
        <v>0</v>
      </c>
      <c r="AX64" s="47">
        <v>0</v>
      </c>
      <c r="AY64" s="48">
        <f>AX64/$Q64</f>
        <v>0</v>
      </c>
      <c r="AZ64" s="47">
        <v>0</v>
      </c>
      <c r="BA64" s="48">
        <f>AZ64/$Q64</f>
        <v>0</v>
      </c>
      <c r="BB64" s="47">
        <v>0</v>
      </c>
      <c r="BC64" s="48">
        <f>BB64/$Q64</f>
        <v>0</v>
      </c>
      <c r="BD64" s="185">
        <v>0</v>
      </c>
      <c r="BE64" s="48">
        <f>BD64/$Q64</f>
        <v>0</v>
      </c>
      <c r="BF64" s="184">
        <v>0</v>
      </c>
      <c r="BG64" s="48">
        <f>BF64/$Q64</f>
        <v>0</v>
      </c>
      <c r="BH64" s="182"/>
      <c r="BI64" s="186"/>
      <c r="BJ64" s="187" t="s">
        <v>174</v>
      </c>
      <c r="BK64" s="143" t="s">
        <v>175</v>
      </c>
    </row>
    <row r="65" spans="1:63" s="25" customFormat="1">
      <c r="A65" s="177" t="s">
        <v>118</v>
      </c>
      <c r="B65" s="178" t="s">
        <v>176</v>
      </c>
      <c r="C65" s="179">
        <v>37</v>
      </c>
      <c r="D65" s="180" t="s">
        <v>177</v>
      </c>
      <c r="E65" s="188">
        <v>33</v>
      </c>
      <c r="F65" s="189">
        <v>33</v>
      </c>
      <c r="G65" s="189">
        <v>33</v>
      </c>
      <c r="H65" s="189">
        <v>33</v>
      </c>
      <c r="I65" s="189">
        <v>33</v>
      </c>
      <c r="J65" s="189">
        <v>33</v>
      </c>
      <c r="K65" s="189">
        <v>33</v>
      </c>
      <c r="L65" s="190">
        <v>33</v>
      </c>
      <c r="M65" s="191">
        <v>33</v>
      </c>
      <c r="N65" s="191">
        <v>33</v>
      </c>
      <c r="O65" s="181">
        <v>33</v>
      </c>
      <c r="P65" s="181">
        <v>33</v>
      </c>
      <c r="Q65" s="181">
        <v>33</v>
      </c>
      <c r="R65" s="182"/>
      <c r="S65" s="183"/>
      <c r="T65" s="182"/>
      <c r="U65" s="183"/>
      <c r="V65" s="182"/>
      <c r="W65" s="183"/>
      <c r="X65" s="182"/>
      <c r="Y65" s="183"/>
      <c r="Z65" s="182"/>
      <c r="AA65" s="183"/>
      <c r="AB65" s="182"/>
      <c r="AC65" s="183"/>
      <c r="AD65" s="182"/>
      <c r="AE65" s="183"/>
      <c r="AF65" s="182"/>
      <c r="AG65" s="183"/>
      <c r="AH65" s="181">
        <v>32.582000000000001</v>
      </c>
      <c r="AI65" s="192">
        <f>AH65/$Q$65</f>
        <v>0.9873333333333334</v>
      </c>
      <c r="AJ65" s="181">
        <v>27.968</v>
      </c>
      <c r="AK65" s="192">
        <f>AJ65/$Q$65</f>
        <v>0.84751515151515155</v>
      </c>
      <c r="AL65" s="181">
        <v>23.302</v>
      </c>
      <c r="AM65" s="192">
        <f>AL65/$Q$65</f>
        <v>0.70612121212121215</v>
      </c>
      <c r="AN65" s="181">
        <v>22.2</v>
      </c>
      <c r="AO65" s="192">
        <f>AN65/$Q$65</f>
        <v>0.67272727272727273</v>
      </c>
      <c r="AP65" s="181">
        <v>19.367000000000001</v>
      </c>
      <c r="AQ65" s="192">
        <f>AP65/$Q$65</f>
        <v>0.58687878787878789</v>
      </c>
      <c r="AR65" s="181">
        <v>15.726000000000001</v>
      </c>
      <c r="AS65" s="192">
        <f>AR65/$Q$65</f>
        <v>0.47654545454545455</v>
      </c>
      <c r="AT65" s="181">
        <v>12.89</v>
      </c>
      <c r="AU65" s="192">
        <f t="shared" si="93"/>
        <v>0.39060606060606062</v>
      </c>
      <c r="AV65" s="181">
        <v>12.32</v>
      </c>
      <c r="AW65" s="192">
        <f>AV65/$Q$65</f>
        <v>0.37333333333333335</v>
      </c>
      <c r="AX65" s="181">
        <v>11.609</v>
      </c>
      <c r="AY65" s="192">
        <f>AX65/$Q$65</f>
        <v>0.35178787878787876</v>
      </c>
      <c r="AZ65" s="181">
        <v>10.25</v>
      </c>
      <c r="BA65" s="192">
        <f>AZ65/$Q$65</f>
        <v>0.31060606060606061</v>
      </c>
      <c r="BB65" s="47">
        <v>7.4859999999999998</v>
      </c>
      <c r="BC65" s="192">
        <f>BB65/$Q$65</f>
        <v>0.22684848484848485</v>
      </c>
      <c r="BD65" s="181">
        <v>3.68</v>
      </c>
      <c r="BE65" s="192">
        <f>BD65/$Q$65</f>
        <v>0.11151515151515153</v>
      </c>
      <c r="BF65" s="184">
        <v>2.6469999999999998</v>
      </c>
      <c r="BG65" s="48">
        <f>BF65/$Q65</f>
        <v>8.0212121212121207E-2</v>
      </c>
      <c r="BH65" s="182"/>
      <c r="BI65" s="186"/>
      <c r="BJ65" s="193" t="s">
        <v>178</v>
      </c>
      <c r="BK65" s="143" t="s">
        <v>179</v>
      </c>
    </row>
    <row r="66" spans="1:63" s="25" customFormat="1" ht="25.5">
      <c r="A66" s="194" t="s">
        <v>180</v>
      </c>
      <c r="B66" s="195" t="s">
        <v>181</v>
      </c>
      <c r="C66" s="196">
        <v>40</v>
      </c>
      <c r="D66" s="197" t="s">
        <v>182</v>
      </c>
      <c r="E66" s="198">
        <v>19</v>
      </c>
      <c r="F66" s="199">
        <v>34</v>
      </c>
      <c r="G66" s="199">
        <v>34</v>
      </c>
      <c r="H66" s="199">
        <v>34</v>
      </c>
      <c r="I66" s="199">
        <v>34</v>
      </c>
      <c r="J66" s="199">
        <v>34</v>
      </c>
      <c r="K66" s="199">
        <v>34</v>
      </c>
      <c r="L66" s="200">
        <v>34</v>
      </c>
      <c r="M66" s="201">
        <v>34</v>
      </c>
      <c r="N66" s="201">
        <v>20</v>
      </c>
      <c r="O66" s="202">
        <v>20</v>
      </c>
      <c r="P66" s="181">
        <v>22.5</v>
      </c>
      <c r="Q66" s="202">
        <f>2.5+20</f>
        <v>22.5</v>
      </c>
      <c r="R66" s="182"/>
      <c r="S66" s="183"/>
      <c r="T66" s="182"/>
      <c r="U66" s="183"/>
      <c r="V66" s="182"/>
      <c r="W66" s="183"/>
      <c r="X66" s="182"/>
      <c r="Y66" s="183"/>
      <c r="Z66" s="182"/>
      <c r="AA66" s="183"/>
      <c r="AB66" s="182"/>
      <c r="AC66" s="183"/>
      <c r="AD66" s="182"/>
      <c r="AE66" s="183"/>
      <c r="AF66" s="182"/>
      <c r="AG66" s="183"/>
      <c r="AH66" s="181">
        <v>21.405000000000001</v>
      </c>
      <c r="AI66" s="192">
        <f>AH66/$Q$66</f>
        <v>0.95133333333333336</v>
      </c>
      <c r="AJ66" s="184">
        <v>20.015000000000001</v>
      </c>
      <c r="AK66" s="192">
        <f>AJ66/$Q$65</f>
        <v>0.60651515151515156</v>
      </c>
      <c r="AL66" s="184">
        <v>13.787000000000001</v>
      </c>
      <c r="AM66" s="192">
        <f>AL66/$Q$66</f>
        <v>0.61275555555555561</v>
      </c>
      <c r="AN66" s="184">
        <v>10.978</v>
      </c>
      <c r="AO66" s="192">
        <f>AN66/$Q$66</f>
        <v>0.48791111111111107</v>
      </c>
      <c r="AP66" s="184">
        <v>7.63</v>
      </c>
      <c r="AQ66" s="192">
        <f>AP66/$Q$66</f>
        <v>0.33911111111111109</v>
      </c>
      <c r="AR66" s="184">
        <v>3.0449999999999999</v>
      </c>
      <c r="AS66" s="192">
        <f>AR66/$Q$66</f>
        <v>0.13533333333333333</v>
      </c>
      <c r="AT66" s="184">
        <v>1.81</v>
      </c>
      <c r="AU66" s="192">
        <f t="shared" si="93"/>
        <v>8.0444444444444443E-2</v>
      </c>
      <c r="AV66" s="184">
        <v>1.175</v>
      </c>
      <c r="AW66" s="192">
        <f>AV66/$Q$66</f>
        <v>5.2222222222222225E-2</v>
      </c>
      <c r="AX66" s="184">
        <v>0.621</v>
      </c>
      <c r="AY66" s="192">
        <f>AX66/$Q$66</f>
        <v>2.76E-2</v>
      </c>
      <c r="AZ66" s="184">
        <v>0.432</v>
      </c>
      <c r="BA66" s="192">
        <f>AZ66/$Q$66</f>
        <v>1.9199999999999998E-2</v>
      </c>
      <c r="BB66" s="47">
        <v>0.432</v>
      </c>
      <c r="BC66" s="192">
        <f>BB66/$Q$66</f>
        <v>1.9199999999999998E-2</v>
      </c>
      <c r="BD66" s="184">
        <v>0.43</v>
      </c>
      <c r="BE66" s="192">
        <f>BD66/$Q$66</f>
        <v>1.911111111111111E-2</v>
      </c>
      <c r="BF66" s="184">
        <v>0.43</v>
      </c>
      <c r="BG66" s="192">
        <f>BF66/$Q$66</f>
        <v>1.911111111111111E-2</v>
      </c>
      <c r="BH66" s="203"/>
      <c r="BI66" s="204"/>
      <c r="BJ66" s="205" t="s">
        <v>174</v>
      </c>
      <c r="BK66" s="206" t="s">
        <v>183</v>
      </c>
    </row>
    <row r="67" spans="1:63" s="25" customFormat="1">
      <c r="A67" s="194" t="s">
        <v>184</v>
      </c>
      <c r="B67" s="195" t="s">
        <v>185</v>
      </c>
      <c r="C67" s="196">
        <v>60</v>
      </c>
      <c r="D67" s="207" t="s">
        <v>186</v>
      </c>
      <c r="E67" s="198"/>
      <c r="F67" s="199"/>
      <c r="G67" s="199"/>
      <c r="H67" s="199"/>
      <c r="I67" s="199"/>
      <c r="J67" s="199"/>
      <c r="K67" s="199"/>
      <c r="L67" s="200"/>
      <c r="M67" s="201">
        <v>5</v>
      </c>
      <c r="N67" s="201">
        <v>5</v>
      </c>
      <c r="O67" s="202">
        <v>5</v>
      </c>
      <c r="P67" s="202">
        <v>5</v>
      </c>
      <c r="Q67" s="202">
        <v>5</v>
      </c>
      <c r="R67" s="182"/>
      <c r="S67" s="183"/>
      <c r="T67" s="182"/>
      <c r="U67" s="183"/>
      <c r="V67" s="182"/>
      <c r="W67" s="183"/>
      <c r="X67" s="182"/>
      <c r="Y67" s="183"/>
      <c r="Z67" s="182"/>
      <c r="AA67" s="183"/>
      <c r="AB67" s="182"/>
      <c r="AC67" s="183"/>
      <c r="AD67" s="182"/>
      <c r="AE67" s="183"/>
      <c r="AF67" s="182"/>
      <c r="AG67" s="183"/>
      <c r="AH67" s="181">
        <v>5</v>
      </c>
      <c r="AI67" s="192">
        <f>AH67/$Q$67</f>
        <v>1</v>
      </c>
      <c r="AJ67" s="184">
        <v>5</v>
      </c>
      <c r="AK67" s="192">
        <f>AJ67/$Q$65</f>
        <v>0.15151515151515152</v>
      </c>
      <c r="AL67" s="184">
        <v>5</v>
      </c>
      <c r="AM67" s="192">
        <f>AL67/$Q$67</f>
        <v>1</v>
      </c>
      <c r="AN67" s="184">
        <v>3.75</v>
      </c>
      <c r="AO67" s="192">
        <f>AN67/$Q$67</f>
        <v>0.75</v>
      </c>
      <c r="AP67" s="184">
        <v>3.141</v>
      </c>
      <c r="AQ67" s="192">
        <f>AP67/$Q$67</f>
        <v>0.62819999999999998</v>
      </c>
      <c r="AR67" s="184">
        <v>2.173</v>
      </c>
      <c r="AS67" s="192">
        <f>AR67/$Q$67</f>
        <v>0.43459999999999999</v>
      </c>
      <c r="AT67" s="184">
        <v>2.09</v>
      </c>
      <c r="AU67" s="192">
        <f t="shared" si="93"/>
        <v>0.41799999999999998</v>
      </c>
      <c r="AV67" s="184">
        <v>2.0859999999999999</v>
      </c>
      <c r="AW67" s="192">
        <f>AV67/$Q$67</f>
        <v>0.41719999999999996</v>
      </c>
      <c r="AX67" s="184">
        <v>1.9450000000000001</v>
      </c>
      <c r="AY67" s="192">
        <f>AX67/$Q$67</f>
        <v>0.38900000000000001</v>
      </c>
      <c r="AZ67" s="184">
        <v>1.7150000000000001</v>
      </c>
      <c r="BA67" s="192">
        <f>AZ67/$Q$67</f>
        <v>0.34300000000000003</v>
      </c>
      <c r="BB67" s="47">
        <v>1.7150000000000001</v>
      </c>
      <c r="BC67" s="192">
        <f>BB67/$Q$67</f>
        <v>0.34300000000000003</v>
      </c>
      <c r="BD67" s="184">
        <v>1.7150000000000001</v>
      </c>
      <c r="BE67" s="192">
        <f>BD67/$Q$67</f>
        <v>0.34300000000000003</v>
      </c>
      <c r="BF67" s="184">
        <v>1.7150000000000001</v>
      </c>
      <c r="BG67" s="192">
        <f>BF67/$Q$67</f>
        <v>0.34300000000000003</v>
      </c>
      <c r="BH67" s="203"/>
      <c r="BI67" s="204"/>
      <c r="BJ67" s="205" t="s">
        <v>174</v>
      </c>
      <c r="BK67" s="143" t="s">
        <v>187</v>
      </c>
    </row>
    <row r="68" spans="1:63" s="220" customFormat="1" ht="25.5">
      <c r="A68" s="194" t="s">
        <v>38</v>
      </c>
      <c r="B68" s="195" t="s">
        <v>188</v>
      </c>
      <c r="C68" s="196">
        <v>61</v>
      </c>
      <c r="D68" s="197" t="s">
        <v>189</v>
      </c>
      <c r="E68" s="198"/>
      <c r="F68" s="199"/>
      <c r="G68" s="199"/>
      <c r="H68" s="199"/>
      <c r="I68" s="199"/>
      <c r="J68" s="199"/>
      <c r="K68" s="199"/>
      <c r="L68" s="200"/>
      <c r="M68" s="201"/>
      <c r="N68" s="201"/>
      <c r="O68" s="202"/>
      <c r="P68" s="202"/>
      <c r="Q68" s="208">
        <v>2.6</v>
      </c>
      <c r="R68" s="182"/>
      <c r="S68" s="183"/>
      <c r="T68" s="182"/>
      <c r="U68" s="183"/>
      <c r="V68" s="182"/>
      <c r="W68" s="183"/>
      <c r="X68" s="182"/>
      <c r="Y68" s="183"/>
      <c r="Z68" s="182"/>
      <c r="AA68" s="183"/>
      <c r="AB68" s="182"/>
      <c r="AC68" s="183"/>
      <c r="AD68" s="209"/>
      <c r="AE68" s="210"/>
      <c r="AF68" s="209"/>
      <c r="AG68" s="210"/>
      <c r="AH68" s="209"/>
      <c r="AI68" s="210"/>
      <c r="AJ68" s="211"/>
      <c r="AK68" s="210"/>
      <c r="AL68" s="212">
        <v>1.71</v>
      </c>
      <c r="AM68" s="213">
        <f>AL68/$Q$68</f>
        <v>0.65769230769230769</v>
      </c>
      <c r="AN68" s="212">
        <v>0.57099999999999995</v>
      </c>
      <c r="AO68" s="213">
        <f>AN68/$Q$68</f>
        <v>0.2196153846153846</v>
      </c>
      <c r="AP68" s="212">
        <v>0</v>
      </c>
      <c r="AQ68" s="213">
        <f>AP68/$Q$68</f>
        <v>0</v>
      </c>
      <c r="AR68" s="212">
        <v>0</v>
      </c>
      <c r="AS68" s="213">
        <f>AR68/$Q$68</f>
        <v>0</v>
      </c>
      <c r="AT68" s="212">
        <v>0</v>
      </c>
      <c r="AU68" s="213">
        <f t="shared" si="93"/>
        <v>0</v>
      </c>
      <c r="AV68" s="212">
        <v>0</v>
      </c>
      <c r="AW68" s="213">
        <f>AV68/$Q$68</f>
        <v>0</v>
      </c>
      <c r="AX68" s="212">
        <v>0</v>
      </c>
      <c r="AY68" s="213">
        <f>AX68/$Q$68</f>
        <v>0</v>
      </c>
      <c r="AZ68" s="214"/>
      <c r="BA68" s="215"/>
      <c r="BB68" s="216"/>
      <c r="BC68" s="215"/>
      <c r="BD68" s="214"/>
      <c r="BE68" s="215"/>
      <c r="BF68" s="214"/>
      <c r="BG68" s="215"/>
      <c r="BH68" s="214"/>
      <c r="BI68" s="217"/>
      <c r="BJ68" s="218" t="s">
        <v>190</v>
      </c>
      <c r="BK68" s="219" t="s">
        <v>191</v>
      </c>
    </row>
    <row r="69" spans="1:63" s="25" customFormat="1" ht="72" customHeight="1">
      <c r="A69" s="221" t="s">
        <v>192</v>
      </c>
      <c r="B69" s="195" t="s">
        <v>193</v>
      </c>
      <c r="C69" s="196">
        <v>36</v>
      </c>
      <c r="D69" s="197" t="s">
        <v>96</v>
      </c>
      <c r="E69" s="198"/>
      <c r="F69" s="199">
        <v>48</v>
      </c>
      <c r="G69" s="199">
        <v>48</v>
      </c>
      <c r="H69" s="199">
        <v>48</v>
      </c>
      <c r="I69" s="199">
        <v>48</v>
      </c>
      <c r="J69" s="199">
        <v>48</v>
      </c>
      <c r="K69" s="199">
        <v>48</v>
      </c>
      <c r="L69" s="200">
        <v>48</v>
      </c>
      <c r="M69" s="201">
        <v>48</v>
      </c>
      <c r="N69" s="201">
        <v>48</v>
      </c>
      <c r="O69" s="202">
        <v>48</v>
      </c>
      <c r="P69" s="202">
        <v>48</v>
      </c>
      <c r="Q69" s="202">
        <v>48</v>
      </c>
      <c r="R69" s="184">
        <v>6.4</v>
      </c>
      <c r="S69" s="192">
        <f>R69/10</f>
        <v>0.64</v>
      </c>
      <c r="T69" s="184">
        <v>5</v>
      </c>
      <c r="U69" s="192">
        <f>T69/5</f>
        <v>1</v>
      </c>
      <c r="V69" s="211"/>
      <c r="W69" s="210"/>
      <c r="X69" s="182"/>
      <c r="Y69" s="183"/>
      <c r="Z69" s="182"/>
      <c r="AA69" s="183"/>
      <c r="AB69" s="184">
        <v>48</v>
      </c>
      <c r="AC69" s="192">
        <f>AB69/$Q$69</f>
        <v>1</v>
      </c>
      <c r="AD69" s="184">
        <v>48</v>
      </c>
      <c r="AE69" s="192">
        <f>AD69/$Q$69</f>
        <v>1</v>
      </c>
      <c r="AF69" s="184">
        <v>48</v>
      </c>
      <c r="AG69" s="192">
        <f>AF69/$Q$69</f>
        <v>1</v>
      </c>
      <c r="AH69" s="184">
        <v>47.892000000000003</v>
      </c>
      <c r="AI69" s="192">
        <f>AH69/$Q$69</f>
        <v>0.99775000000000003</v>
      </c>
      <c r="AJ69" s="184">
        <v>46.558</v>
      </c>
      <c r="AK69" s="192">
        <f>AJ69/$Q$69</f>
        <v>0.96995833333333337</v>
      </c>
      <c r="AL69" s="184">
        <v>42.695999999999998</v>
      </c>
      <c r="AM69" s="192">
        <f>AL69/$Q$69</f>
        <v>0.88949999999999996</v>
      </c>
      <c r="AN69" s="184">
        <v>34.286999999999999</v>
      </c>
      <c r="AO69" s="192">
        <f>AN69/$Q$69</f>
        <v>0.71431250000000002</v>
      </c>
      <c r="AP69" s="184">
        <v>29.838000000000001</v>
      </c>
      <c r="AQ69" s="192">
        <f>AP69/$Q$69</f>
        <v>0.62162499999999998</v>
      </c>
      <c r="AR69" s="184">
        <v>19.510000000000002</v>
      </c>
      <c r="AS69" s="192">
        <f>AR69/$Q$69</f>
        <v>0.40645833333333337</v>
      </c>
      <c r="AT69" s="184">
        <v>16.29</v>
      </c>
      <c r="AU69" s="192">
        <f t="shared" si="93"/>
        <v>0.33937499999999998</v>
      </c>
      <c r="AV69" s="184">
        <v>14.327</v>
      </c>
      <c r="AW69" s="192">
        <f>AV69/$Q$69</f>
        <v>0.29847916666666668</v>
      </c>
      <c r="AX69" s="184">
        <v>13.207000000000001</v>
      </c>
      <c r="AY69" s="192">
        <f>AX69/$Q$69</f>
        <v>0.27514583333333337</v>
      </c>
      <c r="AZ69" s="184">
        <v>11.739000000000001</v>
      </c>
      <c r="BA69" s="192">
        <f>AZ69/$Q$69</f>
        <v>0.24456250000000002</v>
      </c>
      <c r="BB69" s="47">
        <v>10.788</v>
      </c>
      <c r="BC69" s="192">
        <f>BB69/$Q$69</f>
        <v>0.22475000000000001</v>
      </c>
      <c r="BD69" s="184">
        <v>9.9239999999999995</v>
      </c>
      <c r="BE69" s="192">
        <f>BD69/$Q$69</f>
        <v>0.20674999999999999</v>
      </c>
      <c r="BF69" s="184">
        <v>9.42</v>
      </c>
      <c r="BG69" s="192">
        <f>BF69/$Q$69</f>
        <v>0.19625000000000001</v>
      </c>
      <c r="BH69" s="184">
        <v>8.9049999999999994</v>
      </c>
      <c r="BI69" s="222">
        <f>BH69/$Q$69</f>
        <v>0.18552083333333333</v>
      </c>
      <c r="BJ69" s="205" t="s">
        <v>41</v>
      </c>
      <c r="BK69" s="206" t="s">
        <v>194</v>
      </c>
    </row>
    <row r="70" spans="1:63" s="25" customFormat="1">
      <c r="A70" s="194" t="s">
        <v>71</v>
      </c>
      <c r="B70" s="195" t="s">
        <v>195</v>
      </c>
      <c r="C70" s="196">
        <v>41</v>
      </c>
      <c r="D70" s="207" t="s">
        <v>196</v>
      </c>
      <c r="E70" s="198">
        <v>46</v>
      </c>
      <c r="F70" s="199">
        <v>46</v>
      </c>
      <c r="G70" s="199">
        <v>46</v>
      </c>
      <c r="H70" s="199">
        <v>46</v>
      </c>
      <c r="I70" s="199">
        <v>46</v>
      </c>
      <c r="J70" s="199">
        <v>46</v>
      </c>
      <c r="K70" s="199">
        <v>46</v>
      </c>
      <c r="L70" s="200">
        <v>46</v>
      </c>
      <c r="M70" s="201">
        <v>46</v>
      </c>
      <c r="N70" s="201">
        <v>46</v>
      </c>
      <c r="O70" s="202">
        <v>46</v>
      </c>
      <c r="P70" s="202">
        <v>42</v>
      </c>
      <c r="Q70" s="202">
        <v>53</v>
      </c>
      <c r="R70" s="182"/>
      <c r="S70" s="183"/>
      <c r="T70" s="182"/>
      <c r="U70" s="183"/>
      <c r="V70" s="182"/>
      <c r="W70" s="183"/>
      <c r="X70" s="182"/>
      <c r="Y70" s="183"/>
      <c r="Z70" s="182"/>
      <c r="AA70" s="183"/>
      <c r="AB70" s="182"/>
      <c r="AC70" s="183"/>
      <c r="AD70" s="182"/>
      <c r="AE70" s="183"/>
      <c r="AF70" s="182"/>
      <c r="AG70" s="183"/>
      <c r="AH70" s="181">
        <v>53.23</v>
      </c>
      <c r="AI70" s="192">
        <f>AH70/$Q$70</f>
        <v>1.0043396226415093</v>
      </c>
      <c r="AJ70" s="184">
        <v>51.847000000000001</v>
      </c>
      <c r="AK70" s="192">
        <f>AJ70/$Q$70</f>
        <v>0.97824528301886793</v>
      </c>
      <c r="AL70" s="184">
        <v>40.192</v>
      </c>
      <c r="AM70" s="192">
        <f>AL70/$Q$70</f>
        <v>0.75833962264150945</v>
      </c>
      <c r="AN70" s="184">
        <v>29.297000000000001</v>
      </c>
      <c r="AO70" s="192">
        <f>AN70/$Q$70</f>
        <v>0.55277358490566042</v>
      </c>
      <c r="AP70" s="184">
        <v>22.954999999999998</v>
      </c>
      <c r="AQ70" s="192">
        <f>AP70/$Q$70</f>
        <v>0.43311320754716975</v>
      </c>
      <c r="AR70" s="184">
        <v>15.055999999999999</v>
      </c>
      <c r="AS70" s="192">
        <f>AR70/$Q$70</f>
        <v>0.2840754716981132</v>
      </c>
      <c r="AT70" s="184">
        <v>13.2</v>
      </c>
      <c r="AU70" s="192">
        <f t="shared" si="93"/>
        <v>0.24905660377358491</v>
      </c>
      <c r="AV70" s="184">
        <v>12.538</v>
      </c>
      <c r="AW70" s="192">
        <f>AV70/$Q$70</f>
        <v>0.23656603773584906</v>
      </c>
      <c r="AX70" s="184">
        <v>11.694000000000001</v>
      </c>
      <c r="AY70" s="192">
        <f>AX70/$Q$70</f>
        <v>0.22064150943396227</v>
      </c>
      <c r="AZ70" s="184">
        <v>9.5090000000000003</v>
      </c>
      <c r="BA70" s="192">
        <f>AZ70/$Q$70</f>
        <v>0.17941509433962266</v>
      </c>
      <c r="BB70" s="47">
        <v>9.5090000000000003</v>
      </c>
      <c r="BC70" s="192">
        <f>BB70/$Q$70</f>
        <v>0.17941509433962266</v>
      </c>
      <c r="BD70" s="184">
        <v>9.82</v>
      </c>
      <c r="BE70" s="192">
        <f>BD70/$Q$70</f>
        <v>0.18528301886792453</v>
      </c>
      <c r="BF70" s="184">
        <v>9.8000000000000007</v>
      </c>
      <c r="BG70" s="192">
        <f>BF70/$Q$70</f>
        <v>0.18490566037735851</v>
      </c>
      <c r="BH70" s="203"/>
      <c r="BI70" s="204"/>
      <c r="BJ70" s="193" t="s">
        <v>197</v>
      </c>
      <c r="BK70" s="206" t="s">
        <v>198</v>
      </c>
    </row>
    <row r="71" spans="1:63" s="25" customFormat="1">
      <c r="A71" s="223" t="s">
        <v>71</v>
      </c>
      <c r="B71" s="224" t="s">
        <v>199</v>
      </c>
      <c r="C71" s="225">
        <v>45</v>
      </c>
      <c r="D71" s="226" t="s">
        <v>200</v>
      </c>
      <c r="E71" s="227"/>
      <c r="F71" s="228">
        <v>5</v>
      </c>
      <c r="G71" s="228">
        <v>5</v>
      </c>
      <c r="H71" s="228">
        <v>5</v>
      </c>
      <c r="I71" s="228">
        <v>5</v>
      </c>
      <c r="J71" s="228">
        <v>5</v>
      </c>
      <c r="K71" s="228">
        <v>5</v>
      </c>
      <c r="L71" s="229">
        <v>5</v>
      </c>
      <c r="M71" s="230">
        <v>5</v>
      </c>
      <c r="N71" s="230">
        <v>5</v>
      </c>
      <c r="O71" s="231">
        <v>5</v>
      </c>
      <c r="P71" s="202">
        <v>11</v>
      </c>
      <c r="Q71" s="231">
        <v>8.39</v>
      </c>
      <c r="R71" s="182"/>
      <c r="S71" s="183"/>
      <c r="T71" s="182"/>
      <c r="U71" s="183"/>
      <c r="V71" s="182"/>
      <c r="W71" s="183"/>
      <c r="X71" s="182"/>
      <c r="Y71" s="183"/>
      <c r="Z71" s="182"/>
      <c r="AA71" s="183"/>
      <c r="AB71" s="182"/>
      <c r="AC71" s="183"/>
      <c r="AD71" s="182"/>
      <c r="AE71" s="183"/>
      <c r="AF71" s="182"/>
      <c r="AG71" s="183"/>
      <c r="AH71" s="209"/>
      <c r="AI71" s="210"/>
      <c r="AJ71" s="232"/>
      <c r="AK71" s="210"/>
      <c r="AL71" s="232"/>
      <c r="AM71" s="210"/>
      <c r="AN71" s="232"/>
      <c r="AO71" s="210"/>
      <c r="AP71" s="232"/>
      <c r="AQ71" s="210"/>
      <c r="AR71" s="232">
        <v>7.819</v>
      </c>
      <c r="AS71" s="210"/>
      <c r="AT71" s="233">
        <v>6.87</v>
      </c>
      <c r="AU71" s="192">
        <f t="shared" si="93"/>
        <v>0.81883194278903448</v>
      </c>
      <c r="AV71" s="233">
        <v>6.01</v>
      </c>
      <c r="AW71" s="192">
        <f>AV71/$Q$71</f>
        <v>0.71632896305125138</v>
      </c>
      <c r="AX71" s="233">
        <v>5.1929999999999996</v>
      </c>
      <c r="AY71" s="192">
        <f>AX71/$Q$71</f>
        <v>0.61895113230035748</v>
      </c>
      <c r="AZ71" s="233">
        <v>3.9870000000000001</v>
      </c>
      <c r="BA71" s="192">
        <f>AZ71/$Q$71</f>
        <v>0.47520858164481522</v>
      </c>
      <c r="BB71" s="47">
        <v>3.7850000000000001</v>
      </c>
      <c r="BC71" s="192">
        <f>BB71/$Q$71</f>
        <v>0.45113230035756852</v>
      </c>
      <c r="BD71" s="233">
        <v>2.4300000000000002</v>
      </c>
      <c r="BE71" s="192">
        <f>BD71/$Q$71</f>
        <v>0.28963051251489869</v>
      </c>
      <c r="BF71" s="184">
        <v>2.5</v>
      </c>
      <c r="BG71" s="192">
        <f>BF71/$Q$71</f>
        <v>0.29797377830750893</v>
      </c>
      <c r="BH71" s="234"/>
      <c r="BI71" s="235"/>
      <c r="BJ71" s="236" t="s">
        <v>197</v>
      </c>
      <c r="BK71" s="237" t="s">
        <v>201</v>
      </c>
    </row>
    <row r="72" spans="1:63" s="25" customFormat="1" ht="9" customHeight="1">
      <c r="A72" s="238"/>
      <c r="B72" s="239"/>
      <c r="C72" s="239"/>
      <c r="D72" s="240"/>
      <c r="E72" s="241"/>
      <c r="F72" s="242"/>
      <c r="G72" s="242"/>
      <c r="H72" s="242"/>
      <c r="I72" s="242"/>
      <c r="J72" s="242"/>
      <c r="K72" s="242"/>
      <c r="L72" s="243"/>
      <c r="M72" s="244"/>
      <c r="N72" s="244"/>
      <c r="O72" s="244"/>
      <c r="P72" s="244"/>
      <c r="Q72" s="244"/>
      <c r="R72" s="245"/>
      <c r="S72" s="246"/>
      <c r="T72" s="245"/>
      <c r="U72" s="246"/>
      <c r="V72" s="245"/>
      <c r="W72" s="246"/>
      <c r="X72" s="245"/>
      <c r="Y72" s="246"/>
      <c r="Z72" s="245"/>
      <c r="AA72" s="246"/>
      <c r="AB72" s="245"/>
      <c r="AC72" s="246"/>
      <c r="AD72" s="245"/>
      <c r="AE72" s="246"/>
      <c r="AF72" s="245"/>
      <c r="AG72" s="246"/>
      <c r="AH72" s="245"/>
      <c r="AI72" s="246"/>
      <c r="AJ72" s="245"/>
      <c r="AK72" s="246"/>
      <c r="AL72" s="245"/>
      <c r="AM72" s="246"/>
      <c r="AN72" s="245"/>
      <c r="AO72" s="246"/>
      <c r="AP72" s="245"/>
      <c r="AQ72" s="246"/>
      <c r="AR72" s="245"/>
      <c r="AS72" s="246"/>
      <c r="AT72" s="245"/>
      <c r="AU72" s="246"/>
      <c r="AV72" s="245"/>
      <c r="AW72" s="246"/>
      <c r="AX72" s="245"/>
      <c r="AY72" s="246"/>
      <c r="AZ72" s="245"/>
      <c r="BA72" s="246"/>
      <c r="BB72" s="245"/>
      <c r="BC72" s="246"/>
      <c r="BD72" s="245"/>
      <c r="BE72" s="246"/>
      <c r="BF72" s="245"/>
      <c r="BG72" s="246"/>
      <c r="BH72" s="245"/>
      <c r="BI72" s="246"/>
      <c r="BJ72" s="247"/>
      <c r="BK72" s="248"/>
    </row>
    <row r="73" spans="1:63" s="257" customFormat="1">
      <c r="A73" s="433" t="s">
        <v>202</v>
      </c>
      <c r="B73" s="433"/>
      <c r="C73" s="249"/>
      <c r="D73" s="250"/>
      <c r="E73" s="251">
        <f t="shared" ref="E73:P73" si="94">SUM(E65:E71)</f>
        <v>98</v>
      </c>
      <c r="F73" s="251">
        <f t="shared" si="94"/>
        <v>166</v>
      </c>
      <c r="G73" s="251">
        <f t="shared" si="94"/>
        <v>166</v>
      </c>
      <c r="H73" s="251">
        <f t="shared" si="94"/>
        <v>166</v>
      </c>
      <c r="I73" s="251">
        <f t="shared" si="94"/>
        <v>166</v>
      </c>
      <c r="J73" s="251">
        <f t="shared" si="94"/>
        <v>166</v>
      </c>
      <c r="K73" s="251">
        <f t="shared" si="94"/>
        <v>166</v>
      </c>
      <c r="L73" s="251">
        <f t="shared" si="94"/>
        <v>166</v>
      </c>
      <c r="M73" s="252">
        <f t="shared" si="94"/>
        <v>171</v>
      </c>
      <c r="N73" s="252">
        <f t="shared" si="94"/>
        <v>157</v>
      </c>
      <c r="O73" s="252">
        <f t="shared" si="94"/>
        <v>157</v>
      </c>
      <c r="P73" s="252">
        <f t="shared" si="94"/>
        <v>161.5</v>
      </c>
      <c r="Q73" s="252">
        <f>SUM(Q64:Q71)</f>
        <v>173.58999999999997</v>
      </c>
      <c r="R73" s="253"/>
      <c r="S73" s="254"/>
      <c r="T73" s="253"/>
      <c r="U73" s="254"/>
      <c r="V73" s="253"/>
      <c r="W73" s="254"/>
      <c r="X73" s="253"/>
      <c r="Y73" s="254"/>
      <c r="Z73" s="253"/>
      <c r="AA73" s="254"/>
      <c r="AB73" s="255"/>
      <c r="AC73" s="256">
        <f>AC69</f>
        <v>1</v>
      </c>
      <c r="AD73" s="255"/>
      <c r="AE73" s="256">
        <f>AE69</f>
        <v>1</v>
      </c>
      <c r="AF73" s="255"/>
      <c r="AG73" s="256">
        <f>AG69</f>
        <v>1</v>
      </c>
      <c r="AH73" s="255">
        <v>161.209</v>
      </c>
      <c r="AI73" s="256">
        <f>AH73/($Q$73-Q68-Q71)</f>
        <v>0.9914452644526448</v>
      </c>
      <c r="AJ73" s="255">
        <v>152.488</v>
      </c>
      <c r="AK73" s="256">
        <f>AJ73/($Q$73-Q68-Q71)</f>
        <v>0.93781057810578128</v>
      </c>
      <c r="AL73" s="255">
        <v>127.05800000000001</v>
      </c>
      <c r="AM73" s="256">
        <f>AL73/($Q$73-$Q$71)</f>
        <v>0.76911622276029068</v>
      </c>
      <c r="AN73" s="255">
        <v>101.18300000000001</v>
      </c>
      <c r="AO73" s="256">
        <f>AN73/($Q$73-$Q$71)</f>
        <v>0.61248789346246979</v>
      </c>
      <c r="AP73" s="255">
        <v>83.031000000000006</v>
      </c>
      <c r="AQ73" s="256">
        <f>AP73/($Q$73-$Q$71)</f>
        <v>0.50260895883777246</v>
      </c>
      <c r="AR73" s="255">
        <v>63.429000000000002</v>
      </c>
      <c r="AS73" s="256">
        <f>AR73/($Q$73-$Q$71)</f>
        <v>0.38395278450363202</v>
      </c>
      <c r="AT73" s="255">
        <v>53.2</v>
      </c>
      <c r="AU73" s="256">
        <f>AT73/($Q73)</f>
        <v>0.30646926666282626</v>
      </c>
      <c r="AV73" s="255">
        <v>48.456000000000003</v>
      </c>
      <c r="AW73" s="256">
        <f>AV73/($Q$73)</f>
        <v>0.27914050348522385</v>
      </c>
      <c r="AX73" s="255">
        <v>44.268999999999998</v>
      </c>
      <c r="AY73" s="256">
        <f>AX73/($Q$73)</f>
        <v>0.25502045048677924</v>
      </c>
      <c r="AZ73" s="255">
        <v>37.631999999999998</v>
      </c>
      <c r="BA73" s="256">
        <f>AZ73/($Q$73-$Q$68)</f>
        <v>0.2200830457921516</v>
      </c>
      <c r="BB73" s="255">
        <v>33.715000000000003</v>
      </c>
      <c r="BC73" s="256">
        <f>BB73/($Q$73-$Q$68)</f>
        <v>0.19717527340780167</v>
      </c>
      <c r="BD73" s="255">
        <v>27.998999999999999</v>
      </c>
      <c r="BE73" s="256">
        <f>BD73/($Q$73-$Q$68)</f>
        <v>0.16374641791917657</v>
      </c>
      <c r="BF73" s="255">
        <f>BF64+BF65+BF66+BF67+BF69+BF70+BF71</f>
        <v>26.512</v>
      </c>
      <c r="BG73" s="256">
        <f>BF73/($Q$73)</f>
        <v>0.15272769168730921</v>
      </c>
      <c r="BH73" s="253"/>
      <c r="BI73" s="254"/>
      <c r="BK73" s="258"/>
    </row>
    <row r="75" spans="1:63">
      <c r="AH75" s="163">
        <f>$AH$73-AH73</f>
        <v>0</v>
      </c>
      <c r="AI75" s="163"/>
      <c r="AJ75" s="163">
        <f>$AH$73-AJ73</f>
        <v>8.7210000000000036</v>
      </c>
      <c r="AK75" s="163"/>
      <c r="AL75" s="163">
        <f>$AH$73-AL73</f>
        <v>34.150999999999996</v>
      </c>
      <c r="AM75" s="163"/>
      <c r="AN75" s="162">
        <f>$AH$73-AN73</f>
        <v>60.025999999999996</v>
      </c>
      <c r="AO75" s="163"/>
      <c r="AP75" s="163">
        <f>$AH$73-AP73</f>
        <v>78.177999999999997</v>
      </c>
      <c r="AQ75" s="163"/>
      <c r="AR75" s="163">
        <f>$AH$73-AR73</f>
        <v>97.78</v>
      </c>
      <c r="AS75" s="163"/>
      <c r="AT75" s="163">
        <f>$AH$73-AT73</f>
        <v>108.009</v>
      </c>
      <c r="AU75" s="163"/>
      <c r="AV75" s="163">
        <f>$AH$73-AV73</f>
        <v>112.753</v>
      </c>
      <c r="AW75" s="163"/>
      <c r="AX75" s="163">
        <f>$AH$73-AX73</f>
        <v>116.94</v>
      </c>
      <c r="AY75" s="163"/>
      <c r="AZ75" s="162">
        <f>$AH$73-AZ73</f>
        <v>123.577</v>
      </c>
      <c r="BA75" s="163"/>
      <c r="BB75" s="163">
        <f>$AH$73-BB73</f>
        <v>127.494</v>
      </c>
      <c r="BC75" s="163"/>
      <c r="BD75" s="163">
        <f>$AH$73-BD73</f>
        <v>133.21</v>
      </c>
      <c r="BE75" s="163"/>
      <c r="BF75" s="163">
        <f>$AH$73-BF73</f>
        <v>134.697</v>
      </c>
      <c r="BG75" s="163"/>
      <c r="BH75" s="163">
        <f>$AH$73-BH73</f>
        <v>161.209</v>
      </c>
      <c r="BJ75" s="157" t="s">
        <v>203</v>
      </c>
    </row>
    <row r="76" spans="1:63">
      <c r="AJ76" s="162"/>
      <c r="AK76" s="162"/>
      <c r="AL76" s="162"/>
      <c r="AM76" s="162"/>
      <c r="AN76" s="162">
        <f>AH73-AN73</f>
        <v>60.025999999999996</v>
      </c>
      <c r="AO76" s="162"/>
      <c r="AP76" s="162"/>
      <c r="AQ76" s="162"/>
      <c r="AR76" s="162"/>
      <c r="AS76" s="162"/>
      <c r="AT76" s="162">
        <f>AN73-AT73</f>
        <v>47.983000000000004</v>
      </c>
      <c r="AU76" s="162"/>
      <c r="AV76" s="162"/>
      <c r="AW76" s="162"/>
      <c r="AX76" s="162"/>
      <c r="AY76" s="162"/>
      <c r="AZ76" s="162">
        <f>AT73-AZ73</f>
        <v>15.568000000000005</v>
      </c>
      <c r="BA76" s="162"/>
      <c r="BB76" s="162"/>
      <c r="BC76" s="162"/>
      <c r="BD76" s="162"/>
      <c r="BE76" s="162"/>
      <c r="BF76" s="162">
        <f>AZ73-BF73</f>
        <v>11.119999999999997</v>
      </c>
      <c r="BG76" s="162"/>
      <c r="BJ76" s="157" t="s">
        <v>156</v>
      </c>
    </row>
    <row r="77" spans="1:63">
      <c r="AV77" s="259"/>
    </row>
    <row r="78" spans="1:63">
      <c r="BJ78" s="260"/>
    </row>
    <row r="88" spans="2:2">
      <c r="B88" t="s">
        <v>204</v>
      </c>
    </row>
    <row r="122" spans="63:63">
      <c r="BK122" s="13" t="s">
        <v>205</v>
      </c>
    </row>
  </sheetData>
  <mergeCells count="6">
    <mergeCell ref="A73:B73"/>
    <mergeCell ref="A14:B14"/>
    <mergeCell ref="A31:B31"/>
    <mergeCell ref="A43:B43"/>
    <mergeCell ref="A58:B58"/>
    <mergeCell ref="A60:B60"/>
  </mergeCells>
  <pageMargins left="0.55138888888888904" right="0.55138888888888904" top="0.59027777777777801" bottom="0.59027777777777801" header="0.51180555555555496" footer="0.51180555555555496"/>
  <pageSetup paperSize="8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C49"/>
  <sheetViews>
    <sheetView topLeftCell="A6" zoomScale="115" zoomScaleNormal="115" workbookViewId="0">
      <selection activeCell="BY18" sqref="BY18"/>
    </sheetView>
  </sheetViews>
  <sheetFormatPr baseColWidth="10" defaultColWidth="10.85546875" defaultRowHeight="12.75"/>
  <cols>
    <col min="1" max="1" width="11.42578125" customWidth="1"/>
    <col min="2" max="2" width="19.5703125" customWidth="1"/>
    <col min="3" max="3" width="9" style="10" customWidth="1"/>
    <col min="4" max="4" width="8.28515625" customWidth="1"/>
    <col min="5" max="5" width="14" customWidth="1"/>
    <col min="6" max="6" width="11" customWidth="1"/>
    <col min="7" max="7" width="13.140625" customWidth="1"/>
    <col min="8" max="8" width="13.28515625" customWidth="1"/>
    <col min="9" max="9" width="7.42578125" customWidth="1"/>
    <col min="10" max="10" width="10.28515625" customWidth="1"/>
    <col min="11" max="11" width="8.5703125" style="11" customWidth="1"/>
    <col min="12" max="12" width="8.140625" style="11" customWidth="1"/>
    <col min="13" max="13" width="7.28515625" customWidth="1"/>
    <col min="14" max="14" width="6.5703125" style="51" customWidth="1"/>
    <col min="15" max="15" width="7.140625" customWidth="1"/>
    <col min="16" max="16" width="6.5703125" style="51" customWidth="1"/>
    <col min="17" max="17" width="7.140625" customWidth="1"/>
    <col min="18" max="18" width="6.28515625" style="51" customWidth="1"/>
    <col min="19" max="19" width="7.140625" style="51" customWidth="1"/>
    <col min="20" max="20" width="9" customWidth="1"/>
    <col min="21" max="21" width="7.140625" customWidth="1"/>
    <col min="22" max="22" width="9" customWidth="1"/>
    <col min="23" max="23" width="7.140625" customWidth="1"/>
    <col min="24" max="24" width="7.85546875" customWidth="1"/>
    <col min="25" max="25" width="7.140625" customWidth="1"/>
    <col min="26" max="26" width="7.85546875" customWidth="1"/>
    <col min="27" max="27" width="7.140625" customWidth="1"/>
    <col min="28" max="28" width="7.85546875" customWidth="1"/>
    <col min="29" max="29" width="7.140625" customWidth="1"/>
    <col min="30" max="30" width="7.85546875" customWidth="1"/>
    <col min="31" max="31" width="7.140625" customWidth="1"/>
    <col min="32" max="32" width="11.140625" customWidth="1"/>
    <col min="33" max="33" width="7.140625" customWidth="1"/>
    <col min="34" max="34" width="11.140625" customWidth="1"/>
    <col min="35" max="35" width="7.140625" customWidth="1"/>
    <col min="36" max="36" width="11.140625" customWidth="1"/>
    <col min="37" max="37" width="7.140625" customWidth="1"/>
    <col min="38" max="38" width="8.42578125" customWidth="1"/>
    <col min="39" max="39" width="7.140625" customWidth="1"/>
    <col min="40" max="40" width="8.42578125" customWidth="1"/>
    <col min="41" max="41" width="7.140625" customWidth="1"/>
    <col min="42" max="42" width="8.42578125" customWidth="1"/>
    <col min="43" max="43" width="9.85546875" customWidth="1"/>
    <col min="44" max="44" width="10.28515625" customWidth="1"/>
    <col min="45" max="45" width="7.140625" customWidth="1"/>
    <col min="46" max="54" width="10.42578125" customWidth="1"/>
  </cols>
  <sheetData>
    <row r="1" spans="1:81" s="261" customFormat="1">
      <c r="A1" s="261" t="s">
        <v>206</v>
      </c>
      <c r="C1" s="262"/>
      <c r="K1" s="263"/>
      <c r="L1" s="263"/>
      <c r="N1" s="264"/>
      <c r="P1" s="264"/>
      <c r="R1" s="264"/>
      <c r="S1" s="264"/>
    </row>
    <row r="2" spans="1:81">
      <c r="K2" s="265"/>
      <c r="L2" s="265"/>
    </row>
    <row r="3" spans="1:81">
      <c r="B3" s="21" t="s">
        <v>207</v>
      </c>
      <c r="C3" s="266" t="s">
        <v>208</v>
      </c>
      <c r="D3" s="266" t="s">
        <v>209</v>
      </c>
      <c r="E3" s="266" t="s">
        <v>208</v>
      </c>
      <c r="F3" s="266" t="s">
        <v>210</v>
      </c>
      <c r="G3" s="266" t="s">
        <v>208</v>
      </c>
      <c r="H3" s="266" t="s">
        <v>211</v>
      </c>
      <c r="I3" s="266" t="s">
        <v>208</v>
      </c>
      <c r="J3" s="266" t="s">
        <v>212</v>
      </c>
      <c r="K3" s="266" t="s">
        <v>208</v>
      </c>
      <c r="L3" s="266" t="s">
        <v>213</v>
      </c>
      <c r="M3" s="266" t="s">
        <v>208</v>
      </c>
      <c r="N3" s="266" t="s">
        <v>214</v>
      </c>
      <c r="O3" s="266">
        <v>10</v>
      </c>
      <c r="P3" s="266" t="s">
        <v>214</v>
      </c>
      <c r="Q3" s="266">
        <v>20</v>
      </c>
      <c r="R3" s="266" t="s">
        <v>214</v>
      </c>
      <c r="S3" s="266" t="s">
        <v>208</v>
      </c>
      <c r="T3" s="266" t="s">
        <v>215</v>
      </c>
      <c r="U3" s="266" t="s">
        <v>216</v>
      </c>
      <c r="V3" s="266" t="s">
        <v>215</v>
      </c>
      <c r="W3" s="266" t="s">
        <v>217</v>
      </c>
      <c r="X3" s="266" t="s">
        <v>218</v>
      </c>
      <c r="Y3" s="266" t="s">
        <v>208</v>
      </c>
      <c r="Z3" s="266" t="s">
        <v>219</v>
      </c>
      <c r="AA3" s="266" t="s">
        <v>216</v>
      </c>
      <c r="AB3" s="266" t="s">
        <v>219</v>
      </c>
      <c r="AC3" s="266" t="s">
        <v>217</v>
      </c>
      <c r="AD3" s="266" t="s">
        <v>219</v>
      </c>
      <c r="AE3" s="266" t="s">
        <v>208</v>
      </c>
      <c r="AF3" s="266" t="s">
        <v>220</v>
      </c>
      <c r="AG3" s="266" t="s">
        <v>216</v>
      </c>
      <c r="AH3" s="266" t="s">
        <v>220</v>
      </c>
      <c r="AI3" s="266" t="s">
        <v>217</v>
      </c>
      <c r="AJ3" s="266" t="s">
        <v>220</v>
      </c>
      <c r="AK3" s="266" t="s">
        <v>208</v>
      </c>
      <c r="AL3" s="266" t="s">
        <v>221</v>
      </c>
      <c r="AM3" s="266" t="s">
        <v>216</v>
      </c>
      <c r="AN3" s="266" t="s">
        <v>221</v>
      </c>
      <c r="AO3" s="266" t="s">
        <v>217</v>
      </c>
      <c r="AP3" s="266" t="s">
        <v>221</v>
      </c>
      <c r="AQ3" s="266" t="s">
        <v>208</v>
      </c>
      <c r="AR3" s="266" t="s">
        <v>222</v>
      </c>
      <c r="AS3" s="266" t="s">
        <v>208</v>
      </c>
      <c r="AT3" s="266" t="s">
        <v>223</v>
      </c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H3" s="266" t="s">
        <v>224</v>
      </c>
      <c r="BI3" s="266" t="s">
        <v>225</v>
      </c>
      <c r="BJ3" s="266" t="s">
        <v>226</v>
      </c>
      <c r="BK3" s="266" t="s">
        <v>227</v>
      </c>
      <c r="BL3" s="266" t="s">
        <v>228</v>
      </c>
      <c r="BM3" s="266" t="s">
        <v>229</v>
      </c>
      <c r="BN3" s="266" t="s">
        <v>230</v>
      </c>
      <c r="BO3" s="266" t="s">
        <v>231</v>
      </c>
      <c r="BP3" s="266" t="s">
        <v>232</v>
      </c>
      <c r="BQ3" s="266" t="s">
        <v>233</v>
      </c>
      <c r="BR3" s="266" t="s">
        <v>234</v>
      </c>
      <c r="BS3" s="266" t="s">
        <v>235</v>
      </c>
      <c r="BT3" s="266" t="s">
        <v>236</v>
      </c>
      <c r="BU3" s="266" t="s">
        <v>237</v>
      </c>
      <c r="BV3" s="266" t="s">
        <v>238</v>
      </c>
      <c r="BW3" s="266" t="s">
        <v>222</v>
      </c>
      <c r="BX3" s="266" t="s">
        <v>223</v>
      </c>
      <c r="BY3" s="266" t="s">
        <v>209</v>
      </c>
      <c r="BZ3" s="266" t="s">
        <v>210</v>
      </c>
      <c r="CA3" s="266" t="s">
        <v>211</v>
      </c>
      <c r="CB3" s="266" t="s">
        <v>212</v>
      </c>
      <c r="CC3" s="266" t="s">
        <v>213</v>
      </c>
    </row>
    <row r="4" spans="1:81">
      <c r="A4" s="151">
        <v>2017</v>
      </c>
      <c r="B4" s="90">
        <v>383.358</v>
      </c>
      <c r="C4" s="267">
        <v>148.47999999999999</v>
      </c>
      <c r="D4" s="93">
        <v>0.38731420760751001</v>
      </c>
      <c r="E4" s="267">
        <v>162.53</v>
      </c>
      <c r="F4" s="93">
        <v>0.42396402318459497</v>
      </c>
      <c r="G4" s="267">
        <v>200.35</v>
      </c>
      <c r="H4" s="93">
        <v>0.52261854454582901</v>
      </c>
      <c r="I4" s="267">
        <v>256.65899999999999</v>
      </c>
      <c r="J4" s="93">
        <v>0.66950213638426803</v>
      </c>
      <c r="K4" s="267">
        <v>277.63</v>
      </c>
      <c r="L4" s="93">
        <v>0.72420557285878995</v>
      </c>
      <c r="M4" s="267">
        <v>286.57</v>
      </c>
      <c r="N4" s="93">
        <v>0.74752581138257201</v>
      </c>
      <c r="O4" s="267">
        <v>289.77999999999997</v>
      </c>
      <c r="P4" s="93">
        <v>0.75589918561762104</v>
      </c>
      <c r="Q4" s="267">
        <v>286.14999999999998</v>
      </c>
      <c r="R4" s="93">
        <v>0.74643022970695805</v>
      </c>
      <c r="S4" s="267">
        <v>270.88</v>
      </c>
      <c r="T4" s="93">
        <v>0.70659801021499502</v>
      </c>
      <c r="U4" s="267">
        <v>260.36</v>
      </c>
      <c r="V4" s="93">
        <v>0.68631740993995105</v>
      </c>
      <c r="W4" s="267">
        <v>247.63</v>
      </c>
      <c r="X4" s="93">
        <v>0.64594973888636698</v>
      </c>
      <c r="Y4" s="267">
        <v>232.27</v>
      </c>
      <c r="Z4" s="93">
        <v>0.60588275189248697</v>
      </c>
      <c r="AA4" s="267">
        <v>208.44</v>
      </c>
      <c r="AB4" s="93">
        <v>0.54372153444039195</v>
      </c>
      <c r="AC4" s="267">
        <v>181.1</v>
      </c>
      <c r="AD4" s="93">
        <v>0.472404384413525</v>
      </c>
      <c r="AE4" s="267">
        <v>160.61000000000001</v>
      </c>
      <c r="AF4" s="93">
        <v>0.41895564981035999</v>
      </c>
      <c r="AG4" s="267">
        <v>146.42099999999999</v>
      </c>
      <c r="AH4" s="93">
        <v>0.381943248869203</v>
      </c>
      <c r="AI4" s="267">
        <v>144.464</v>
      </c>
      <c r="AJ4" s="93">
        <v>0.37683835996640203</v>
      </c>
      <c r="AK4" s="267">
        <v>135.684</v>
      </c>
      <c r="AL4" s="93">
        <v>0.35393548589047302</v>
      </c>
      <c r="AM4" s="267">
        <v>133.155</v>
      </c>
      <c r="AN4" s="93">
        <v>0.34733851908659802</v>
      </c>
      <c r="AO4" s="267">
        <v>107.078</v>
      </c>
      <c r="AP4" s="93">
        <v>0.309377419764929</v>
      </c>
      <c r="AQ4" s="267">
        <v>120.643</v>
      </c>
      <c r="AR4" s="93">
        <v>0.31470061926449899</v>
      </c>
      <c r="AS4" s="267">
        <v>121.19199999999999</v>
      </c>
      <c r="AT4" s="93">
        <v>0.31613270102619501</v>
      </c>
      <c r="AU4" s="268"/>
      <c r="AV4" s="268"/>
      <c r="AW4" s="268"/>
      <c r="AX4" s="268"/>
      <c r="AY4" s="268"/>
      <c r="AZ4" s="268"/>
      <c r="BA4" s="268"/>
      <c r="BB4" s="268"/>
      <c r="BD4" s="12"/>
      <c r="BG4" s="269" t="s">
        <v>239</v>
      </c>
      <c r="BH4" s="93">
        <v>0.74752581138257201</v>
      </c>
      <c r="BI4" s="93">
        <v>0.75589918561762104</v>
      </c>
      <c r="BJ4" s="93">
        <v>0.74643022970695805</v>
      </c>
      <c r="BK4" s="93">
        <v>0.70659801021499502</v>
      </c>
      <c r="BL4" s="93">
        <v>0.68631740993995105</v>
      </c>
      <c r="BM4" s="93">
        <v>0.64594973888636698</v>
      </c>
      <c r="BN4" s="93">
        <v>0.60588275189248697</v>
      </c>
      <c r="BO4" s="93">
        <v>0.54372153444039195</v>
      </c>
      <c r="BP4" s="93">
        <v>0.472404384413525</v>
      </c>
      <c r="BQ4" s="93">
        <v>0.41895564981035999</v>
      </c>
      <c r="BR4" s="93">
        <v>0.381943248869203</v>
      </c>
      <c r="BS4" s="93">
        <v>0.37683835996640203</v>
      </c>
      <c r="BT4" s="93">
        <v>0.35393548589047302</v>
      </c>
      <c r="BU4" s="93">
        <v>0.34733851908659802</v>
      </c>
      <c r="BV4" s="93">
        <v>0.309377419764929</v>
      </c>
      <c r="BW4" s="93">
        <v>0.31470061926449899</v>
      </c>
      <c r="BX4" s="93">
        <v>0.31613270102619501</v>
      </c>
      <c r="BY4" s="270">
        <v>0.44376700627711602</v>
      </c>
      <c r="BZ4" s="271">
        <v>0.74790431375849797</v>
      </c>
      <c r="CA4" s="271">
        <v>0.88585327618654297</v>
      </c>
      <c r="CB4" s="271">
        <v>0.92486529779150195</v>
      </c>
      <c r="CC4" s="271">
        <v>0.961878321525656</v>
      </c>
    </row>
    <row r="5" spans="1:81">
      <c r="A5" s="272">
        <v>2018</v>
      </c>
      <c r="B5" s="273">
        <v>380.19049999999999</v>
      </c>
      <c r="C5" s="92">
        <v>168.71600000000001</v>
      </c>
      <c r="D5" s="270">
        <v>0.44376700627711602</v>
      </c>
      <c r="E5" s="92">
        <v>284.346115</v>
      </c>
      <c r="F5" s="271">
        <v>0.74790431375849797</v>
      </c>
      <c r="G5" s="92">
        <v>336.79300000000001</v>
      </c>
      <c r="H5" s="271">
        <v>0.88585327618654297</v>
      </c>
      <c r="I5" s="92">
        <v>351.625</v>
      </c>
      <c r="J5" s="271">
        <v>0.92486529779150195</v>
      </c>
      <c r="K5" s="92">
        <v>365.697</v>
      </c>
      <c r="L5" s="271">
        <v>0.961878321525656</v>
      </c>
      <c r="M5" s="92">
        <v>374.96300000000002</v>
      </c>
      <c r="N5" s="271">
        <v>0.98625031398732999</v>
      </c>
      <c r="O5" s="92">
        <v>377.464</v>
      </c>
      <c r="P5" s="271">
        <v>0.99282859513848998</v>
      </c>
      <c r="Q5" s="92">
        <v>378.14204999999998</v>
      </c>
      <c r="R5" s="274">
        <v>0.99461204317309304</v>
      </c>
      <c r="S5" s="92">
        <v>375.541</v>
      </c>
      <c r="T5" s="271">
        <v>0.98777060447328402</v>
      </c>
      <c r="U5" s="92">
        <v>368.91199999999998</v>
      </c>
      <c r="V5" s="271">
        <v>0.97033460857123</v>
      </c>
      <c r="W5" s="92">
        <v>359.8372</v>
      </c>
      <c r="X5" s="271">
        <v>0.96732900436973501</v>
      </c>
      <c r="Y5" s="92">
        <v>358.82799999999997</v>
      </c>
      <c r="Z5" s="271">
        <v>0.94381106313808505</v>
      </c>
      <c r="AA5" s="92">
        <v>330.20299999999997</v>
      </c>
      <c r="AB5" s="271">
        <v>0.86851986043838603</v>
      </c>
      <c r="AC5" s="92">
        <v>314.40100000000001</v>
      </c>
      <c r="AD5" s="271">
        <v>0.82695648628779495</v>
      </c>
      <c r="AE5" s="92">
        <v>285.30700000000002</v>
      </c>
      <c r="AF5" s="271">
        <v>0.75043169148098099</v>
      </c>
      <c r="AG5" s="92">
        <v>274.09800000000001</v>
      </c>
      <c r="AH5" s="271">
        <v>0.72094910314697502</v>
      </c>
      <c r="AI5" s="92">
        <v>264.32552262000002</v>
      </c>
      <c r="AJ5" s="271">
        <v>0.69524494331131403</v>
      </c>
      <c r="AK5" s="92">
        <v>244.453892623309</v>
      </c>
      <c r="AL5" s="271">
        <v>0.64297738271553095</v>
      </c>
      <c r="AM5" s="92">
        <v>235.32985682797101</v>
      </c>
      <c r="AN5" s="271">
        <v>0.61897879307339598</v>
      </c>
      <c r="AO5" s="92">
        <v>212.11099999999999</v>
      </c>
      <c r="AP5" s="275">
        <v>0.61850670888973502</v>
      </c>
      <c r="AQ5" s="92">
        <v>230.89529999999999</v>
      </c>
      <c r="AR5" s="271">
        <v>0.60731475405093005</v>
      </c>
      <c r="AS5" s="92">
        <v>233.74799999999999</v>
      </c>
      <c r="AT5" s="271">
        <v>0.61481809776940799</v>
      </c>
      <c r="AU5" s="276"/>
      <c r="AV5" s="276"/>
      <c r="AW5" s="276"/>
      <c r="AX5" s="276"/>
      <c r="AY5" s="276"/>
      <c r="AZ5" s="276"/>
      <c r="BA5" s="276"/>
      <c r="BB5" s="276"/>
      <c r="BC5" s="92"/>
      <c r="BD5" s="277"/>
      <c r="BE5" s="74"/>
      <c r="BF5" s="74"/>
      <c r="BG5" s="278" t="s">
        <v>240</v>
      </c>
      <c r="BH5" s="271">
        <v>0.98625031398732999</v>
      </c>
      <c r="BI5" s="271">
        <v>0.99282859513848998</v>
      </c>
      <c r="BJ5" s="274">
        <v>0.99461204317309304</v>
      </c>
      <c r="BK5" s="271">
        <v>0.98777060447328402</v>
      </c>
      <c r="BL5" s="271">
        <v>0.97033460857123</v>
      </c>
      <c r="BM5" s="271">
        <v>0.96732900436973501</v>
      </c>
      <c r="BN5" s="271">
        <v>0.94381106313808505</v>
      </c>
      <c r="BO5" s="271">
        <v>0.86851986043838603</v>
      </c>
      <c r="BP5" s="271">
        <v>0.82695648628779495</v>
      </c>
      <c r="BQ5" s="271">
        <v>0.75043169148098099</v>
      </c>
      <c r="BR5" s="271">
        <v>0.72094910314697502</v>
      </c>
      <c r="BS5" s="271">
        <v>0.69524494331131403</v>
      </c>
      <c r="BT5" s="271">
        <v>0.64297738271553095</v>
      </c>
      <c r="BU5" s="271">
        <v>0.61897879307339598</v>
      </c>
      <c r="BV5" s="275">
        <v>0.61850670888973502</v>
      </c>
      <c r="BW5" s="271">
        <v>0.60731475405093005</v>
      </c>
      <c r="BX5" s="271">
        <v>0.61481809776940799</v>
      </c>
      <c r="BY5" s="93">
        <v>0.68080853975136602</v>
      </c>
      <c r="BZ5" s="93">
        <v>0.74333340774581402</v>
      </c>
      <c r="CA5" s="93">
        <v>0.87195231648240801</v>
      </c>
      <c r="CB5" s="93">
        <v>0.88303539889247995</v>
      </c>
      <c r="CC5" s="93">
        <v>0.91497936366823795</v>
      </c>
    </row>
    <row r="6" spans="1:81">
      <c r="A6" s="151">
        <v>2019</v>
      </c>
      <c r="B6" s="91">
        <v>380.76049999999998</v>
      </c>
      <c r="C6" s="279">
        <v>259.22500000000002</v>
      </c>
      <c r="D6" s="93">
        <v>0.68080853975136602</v>
      </c>
      <c r="E6" s="279">
        <v>283.03199999999998</v>
      </c>
      <c r="F6" s="93">
        <v>0.74333340774581402</v>
      </c>
      <c r="G6" s="279">
        <v>332.005</v>
      </c>
      <c r="H6" s="93">
        <v>0.87195231648240801</v>
      </c>
      <c r="I6" s="279">
        <v>336.22500000000002</v>
      </c>
      <c r="J6" s="93">
        <v>0.88303539889247995</v>
      </c>
      <c r="K6" s="279">
        <v>348.38799999999998</v>
      </c>
      <c r="L6" s="93">
        <v>0.91497936366823795</v>
      </c>
      <c r="M6" s="279">
        <v>366.54300000000001</v>
      </c>
      <c r="N6" s="93">
        <v>0.96266025493715901</v>
      </c>
      <c r="O6" s="279">
        <v>367.726</v>
      </c>
      <c r="P6" s="93">
        <v>0.96576719486396301</v>
      </c>
      <c r="Q6" s="279">
        <v>367.846</v>
      </c>
      <c r="R6" s="93">
        <v>0.966082353605482</v>
      </c>
      <c r="S6" s="279">
        <v>359.97399999999999</v>
      </c>
      <c r="T6" s="93">
        <v>0.94540794016186103</v>
      </c>
      <c r="U6" s="279">
        <v>344.27100000000002</v>
      </c>
      <c r="V6" s="93">
        <v>0.90416679251130305</v>
      </c>
      <c r="W6" s="279">
        <v>310.34300000000002</v>
      </c>
      <c r="X6" s="93">
        <v>0.81506091099260602</v>
      </c>
      <c r="Y6" s="279">
        <v>283.38299999999998</v>
      </c>
      <c r="Z6" s="93">
        <v>0.74425524706475599</v>
      </c>
      <c r="AA6" s="279">
        <v>250.6</v>
      </c>
      <c r="AB6" s="93">
        <v>0.65815650520471503</v>
      </c>
      <c r="AC6" s="279">
        <v>233.12799999999999</v>
      </c>
      <c r="AD6" s="93">
        <v>0.61226939243960399</v>
      </c>
      <c r="AE6" s="279">
        <v>205.386</v>
      </c>
      <c r="AF6" s="93">
        <v>0.53940994404619202</v>
      </c>
      <c r="AG6" s="279">
        <v>186.48949999999999</v>
      </c>
      <c r="AH6" s="93">
        <v>0.48978163438696998</v>
      </c>
      <c r="AI6" s="279">
        <v>173.55019999999999</v>
      </c>
      <c r="AJ6" s="93">
        <v>0.45579885518587099</v>
      </c>
      <c r="AK6" s="279">
        <v>159.148</v>
      </c>
      <c r="AL6" s="93">
        <v>0.41797402829337599</v>
      </c>
      <c r="AM6" s="279">
        <v>148.65600000000001</v>
      </c>
      <c r="AN6" s="93">
        <v>0.39041864899326501</v>
      </c>
      <c r="AO6" s="279">
        <v>142.309</v>
      </c>
      <c r="AP6" s="93">
        <v>0.37374937788977602</v>
      </c>
      <c r="AQ6" s="279">
        <v>145.34399999999999</v>
      </c>
      <c r="AR6" s="93">
        <v>0.38172026772735101</v>
      </c>
      <c r="AS6" s="279">
        <v>230.4393</v>
      </c>
      <c r="AT6" s="93">
        <v>0.60520799820359505</v>
      </c>
      <c r="AU6" s="280"/>
      <c r="AV6" s="280"/>
      <c r="AW6" s="280"/>
      <c r="AX6" s="280"/>
      <c r="AY6" s="280"/>
      <c r="AZ6" s="280"/>
      <c r="BA6" s="280"/>
      <c r="BB6" s="280"/>
      <c r="BC6" s="279"/>
      <c r="BD6" s="93"/>
      <c r="BE6" s="281"/>
      <c r="BF6" s="282"/>
      <c r="BG6" s="269" t="s">
        <v>241</v>
      </c>
      <c r="BH6" s="93">
        <v>0.96266025493715901</v>
      </c>
      <c r="BI6" s="93">
        <v>0.96576719486396301</v>
      </c>
      <c r="BJ6" s="93">
        <v>0.966082353605482</v>
      </c>
      <c r="BK6" s="93">
        <v>0.94540794016186103</v>
      </c>
      <c r="BL6" s="93">
        <v>0.90416679251130305</v>
      </c>
      <c r="BM6" s="93">
        <v>0.81506091099260602</v>
      </c>
      <c r="BN6" s="93">
        <v>0.74425524706475599</v>
      </c>
      <c r="BO6" s="93">
        <v>0.65815650520471503</v>
      </c>
      <c r="BP6" s="93">
        <v>0.61226939243960399</v>
      </c>
      <c r="BQ6" s="93">
        <v>0.53940994404619202</v>
      </c>
      <c r="BR6" s="93">
        <v>0.48978163438696998</v>
      </c>
      <c r="BS6" s="93">
        <v>0.45579885518587099</v>
      </c>
      <c r="BT6" s="93">
        <v>0.41797402829337599</v>
      </c>
      <c r="BU6" s="93">
        <v>0.39041864899326501</v>
      </c>
      <c r="BV6" s="93">
        <v>0.37374937788977602</v>
      </c>
      <c r="BW6" s="93">
        <v>0.38172026772735101</v>
      </c>
      <c r="BX6" s="93">
        <v>0.60520799820359505</v>
      </c>
      <c r="BY6" s="93">
        <v>0.81404452405120797</v>
      </c>
      <c r="BZ6" s="93">
        <v>0.85969526776018002</v>
      </c>
      <c r="CA6" s="93">
        <v>0.88817248637923296</v>
      </c>
      <c r="CB6" s="93">
        <v>0.94588855724267595</v>
      </c>
      <c r="CC6" s="93">
        <v>0.97817657031125904</v>
      </c>
    </row>
    <row r="7" spans="1:81">
      <c r="A7" s="151">
        <v>2020</v>
      </c>
      <c r="B7" s="91">
        <v>380.76049999999998</v>
      </c>
      <c r="C7" s="279">
        <v>309.95600000000002</v>
      </c>
      <c r="D7" s="93">
        <v>0.81404452405120797</v>
      </c>
      <c r="E7" s="279">
        <v>327.33800000000002</v>
      </c>
      <c r="F7" s="93">
        <v>0.85969526776018002</v>
      </c>
      <c r="G7" s="279">
        <v>338.18099999999998</v>
      </c>
      <c r="H7" s="93">
        <v>0.88817248637923296</v>
      </c>
      <c r="I7" s="279">
        <v>360.15699999999998</v>
      </c>
      <c r="J7" s="93">
        <v>0.94588855724267595</v>
      </c>
      <c r="K7" s="279">
        <v>372.45100000000002</v>
      </c>
      <c r="L7" s="93">
        <v>0.97817657031125904</v>
      </c>
      <c r="M7" s="279">
        <v>375.78800000000001</v>
      </c>
      <c r="N7" s="93">
        <v>0.98694060964832198</v>
      </c>
      <c r="O7" s="279">
        <v>376.28500000000003</v>
      </c>
      <c r="P7" s="93">
        <v>0.98824589210277802</v>
      </c>
      <c r="Q7" s="279">
        <v>375.82900000000001</v>
      </c>
      <c r="R7" s="93">
        <v>0.98704828888500795</v>
      </c>
      <c r="S7" s="279">
        <v>373.10899999999998</v>
      </c>
      <c r="T7" s="93">
        <v>0.97990469074391895</v>
      </c>
      <c r="U7" s="279">
        <v>360.00599999999997</v>
      </c>
      <c r="V7" s="93">
        <v>0.94549198249293198</v>
      </c>
      <c r="W7" s="279">
        <v>331.03300000000002</v>
      </c>
      <c r="X7" s="93">
        <v>0.86939953067610698</v>
      </c>
      <c r="Y7" s="279">
        <v>299.36399999999998</v>
      </c>
      <c r="Z7" s="93">
        <v>0.79058681853533697</v>
      </c>
      <c r="AA7" s="279">
        <v>250.29</v>
      </c>
      <c r="AB7" s="93">
        <v>0.66098787700327899</v>
      </c>
      <c r="AC7" s="279">
        <v>225.96700000000001</v>
      </c>
      <c r="AD7" s="93">
        <v>0.59346229453948096</v>
      </c>
      <c r="AE7" s="279">
        <v>194.43799999999999</v>
      </c>
      <c r="AF7" s="93">
        <v>0.51065696152830997</v>
      </c>
      <c r="AG7" s="279">
        <v>182.10400000000001</v>
      </c>
      <c r="AH7" s="93">
        <v>0.478263895545888</v>
      </c>
      <c r="AI7" s="279">
        <v>162.613</v>
      </c>
      <c r="AJ7" s="93">
        <v>0.42707423695472602</v>
      </c>
      <c r="AK7" s="279">
        <v>159.81299999999999</v>
      </c>
      <c r="AL7" s="93">
        <v>0.41972053298595802</v>
      </c>
      <c r="AM7" s="279">
        <v>171.155</v>
      </c>
      <c r="AN7" s="93">
        <v>0.44950828670516002</v>
      </c>
      <c r="AO7" s="279">
        <v>178.13800000000001</v>
      </c>
      <c r="AP7" s="93">
        <v>0.46784789913869801</v>
      </c>
      <c r="AQ7" s="279">
        <v>189.62899999999999</v>
      </c>
      <c r="AR7" s="93">
        <v>0.49802697496195097</v>
      </c>
      <c r="AS7" s="279">
        <v>198.02600000000001</v>
      </c>
      <c r="AT7" s="93">
        <v>0.52008020789971698</v>
      </c>
      <c r="AU7" s="280"/>
      <c r="AV7" s="280"/>
      <c r="AW7" s="280"/>
      <c r="AX7" s="280"/>
      <c r="AY7" s="280"/>
      <c r="AZ7" s="280"/>
      <c r="BA7" s="280"/>
      <c r="BB7" s="280"/>
      <c r="BC7" s="279"/>
      <c r="BD7" s="93"/>
      <c r="BE7" s="281"/>
      <c r="BF7" s="282"/>
      <c r="BG7" s="269" t="s">
        <v>242</v>
      </c>
      <c r="BH7" s="93">
        <v>0.98694060964832198</v>
      </c>
      <c r="BI7" s="93">
        <v>0.98824589210277802</v>
      </c>
      <c r="BJ7" s="93">
        <v>0.98704828888500795</v>
      </c>
      <c r="BK7" s="93">
        <v>0.97990469074391895</v>
      </c>
      <c r="BL7" s="93">
        <v>0.94549198249293198</v>
      </c>
      <c r="BM7" s="93">
        <v>0.86939953067610698</v>
      </c>
      <c r="BN7" s="93">
        <v>0.79058681853533697</v>
      </c>
      <c r="BO7" s="93">
        <v>0.66098787700327899</v>
      </c>
      <c r="BP7" s="93">
        <v>0.59346229453948096</v>
      </c>
      <c r="BQ7" s="93">
        <v>0.51065696152830997</v>
      </c>
      <c r="BR7" s="93">
        <v>0.478263895545888</v>
      </c>
      <c r="BS7" s="93">
        <v>0.42707423695472602</v>
      </c>
      <c r="BT7" s="93">
        <v>0.41972053298595802</v>
      </c>
      <c r="BU7" s="93">
        <v>0.44950828670516002</v>
      </c>
      <c r="BV7" s="93">
        <v>0.46784789913869801</v>
      </c>
      <c r="BW7" s="93">
        <v>0.49802697496195097</v>
      </c>
      <c r="BX7" s="93">
        <v>0.52008020789971698</v>
      </c>
      <c r="BY7" s="93">
        <v>0.76840582352027498</v>
      </c>
      <c r="BZ7" s="93">
        <v>0.87499406274110103</v>
      </c>
      <c r="CA7" s="93">
        <v>0.93404571881912102</v>
      </c>
      <c r="CB7" s="93">
        <v>0.93864404560328296</v>
      </c>
      <c r="CC7" s="93">
        <v>0.93150906507107401</v>
      </c>
    </row>
    <row r="8" spans="1:81">
      <c r="A8" s="151">
        <v>2021</v>
      </c>
      <c r="B8" s="91">
        <f>'[1]Réserves 2021'!Q$60</f>
        <v>389.48950000000002</v>
      </c>
      <c r="C8" s="279">
        <v>299.286</v>
      </c>
      <c r="D8" s="93">
        <v>0.76840582352027498</v>
      </c>
      <c r="E8" s="279">
        <v>340.80099999999999</v>
      </c>
      <c r="F8" s="93">
        <v>0.87499406274110103</v>
      </c>
      <c r="G8" s="279">
        <v>363.80099999999999</v>
      </c>
      <c r="H8" s="93">
        <v>0.93404571881912102</v>
      </c>
      <c r="I8" s="279">
        <v>365.59199999999998</v>
      </c>
      <c r="J8" s="93">
        <v>0.93864404560328296</v>
      </c>
      <c r="K8" s="279">
        <v>362.81299999999999</v>
      </c>
      <c r="L8" s="93">
        <v>0.93150906507107401</v>
      </c>
      <c r="M8" s="279">
        <v>373.88200000000001</v>
      </c>
      <c r="N8" s="93">
        <v>0.95992831642444798</v>
      </c>
      <c r="O8" s="279">
        <v>374.81099999999998</v>
      </c>
      <c r="P8" s="93">
        <v>0.962313489837338</v>
      </c>
      <c r="Q8" s="279">
        <v>372.25599999999997</v>
      </c>
      <c r="R8" s="93">
        <v>0.95575362108606299</v>
      </c>
      <c r="S8" s="279">
        <v>372.46199999999999</v>
      </c>
      <c r="T8" s="93">
        <v>0.95628251852745705</v>
      </c>
      <c r="U8" s="279">
        <v>365.32600000000002</v>
      </c>
      <c r="V8" s="93">
        <v>0.93796110036342495</v>
      </c>
      <c r="W8" s="279">
        <v>358.28899999999999</v>
      </c>
      <c r="X8" s="93">
        <v>0.919893861066858</v>
      </c>
      <c r="Y8" s="279">
        <v>329.697</v>
      </c>
      <c r="Z8" s="93">
        <v>0.85107366100526805</v>
      </c>
      <c r="AA8" s="279">
        <v>321.89999999999998</v>
      </c>
      <c r="AB8" s="93">
        <v>0.83094663123290602</v>
      </c>
      <c r="AC8" s="279">
        <v>274.90199999999999</v>
      </c>
      <c r="AD8" s="93">
        <v>0.70580079822434205</v>
      </c>
      <c r="AE8" s="279">
        <v>243.79900000000001</v>
      </c>
      <c r="AF8" s="93">
        <v>0.62594498696370504</v>
      </c>
      <c r="AG8" s="279">
        <v>226.84299999999999</v>
      </c>
      <c r="AH8" s="93">
        <v>0.58241107911766599</v>
      </c>
      <c r="AI8" s="279">
        <v>204.108</v>
      </c>
      <c r="AJ8" s="93">
        <v>0.52403980081619705</v>
      </c>
      <c r="AK8" s="279">
        <v>217.006</v>
      </c>
      <c r="AL8" s="93">
        <v>0.55715494255942699</v>
      </c>
      <c r="AM8" s="279">
        <v>213.97900000000001</v>
      </c>
      <c r="AN8" s="93">
        <v>0.54938323112689802</v>
      </c>
      <c r="AO8" s="279">
        <v>203.709</v>
      </c>
      <c r="AP8" s="93">
        <v>0.52301538295640804</v>
      </c>
      <c r="AQ8" s="279">
        <v>194.26</v>
      </c>
      <c r="AR8" s="93">
        <v>0.49875542216157298</v>
      </c>
      <c r="AS8" s="279">
        <v>208.73</v>
      </c>
      <c r="AT8" s="93">
        <v>0.53590661622457103</v>
      </c>
      <c r="AU8" s="280"/>
      <c r="AV8" s="280"/>
      <c r="AW8" s="280"/>
      <c r="AX8" s="280"/>
      <c r="AY8" s="280"/>
      <c r="AZ8" s="280"/>
      <c r="BA8" s="280"/>
      <c r="BB8" s="280"/>
      <c r="BC8" s="279"/>
      <c r="BD8" s="93"/>
      <c r="BE8" s="281"/>
      <c r="BF8" s="282"/>
      <c r="BG8" s="269" t="s">
        <v>243</v>
      </c>
      <c r="BH8" s="93">
        <v>0.95992831642444798</v>
      </c>
      <c r="BI8" s="93">
        <v>0.962313489837338</v>
      </c>
      <c r="BJ8" s="93">
        <v>0.95575362108606299</v>
      </c>
      <c r="BK8" s="93">
        <v>0.95628251852745705</v>
      </c>
      <c r="BL8" s="93">
        <v>0.93796110036342495</v>
      </c>
      <c r="BM8" s="93">
        <v>0.919893861066858</v>
      </c>
      <c r="BN8" s="93">
        <v>0.85107366100526805</v>
      </c>
      <c r="BO8" s="93">
        <v>0.83094663123290602</v>
      </c>
      <c r="BP8" s="93">
        <v>0.70580079822434205</v>
      </c>
      <c r="BQ8" s="93">
        <v>0.62594498696370504</v>
      </c>
      <c r="BR8" s="93">
        <v>0.58241107911766599</v>
      </c>
      <c r="BS8" s="93">
        <v>0.52403980081619705</v>
      </c>
      <c r="BT8" s="93">
        <v>0.55715494255942699</v>
      </c>
      <c r="BU8" s="93">
        <v>0.54938323112689802</v>
      </c>
      <c r="BV8" s="93">
        <v>0.52301538295640804</v>
      </c>
      <c r="BW8" s="93">
        <v>0.49875542216157298</v>
      </c>
      <c r="BX8" s="93">
        <v>0.53590661622457103</v>
      </c>
      <c r="BY8" s="93">
        <v>0.74138327220631095</v>
      </c>
      <c r="BZ8" s="93">
        <v>0.85721181187169404</v>
      </c>
      <c r="CA8" s="93">
        <v>0.88490447110897696</v>
      </c>
      <c r="CB8" s="93">
        <v>0.91331345260912</v>
      </c>
      <c r="CC8" s="93">
        <v>0.95146852482544497</v>
      </c>
    </row>
    <row r="9" spans="1:81">
      <c r="A9" s="151">
        <v>2022</v>
      </c>
      <c r="B9" s="91">
        <f>'Réserves 2022'!Q$60</f>
        <v>389.48949999999996</v>
      </c>
      <c r="C9" s="279">
        <f>'Réserves 2022'!R$60</f>
        <v>288.76100000000002</v>
      </c>
      <c r="D9" s="93">
        <f>'Réserves 2022'!S$60</f>
        <v>0.74138327220631117</v>
      </c>
      <c r="E9" s="279">
        <f>'Réserves 2022'!T$60</f>
        <v>333.875</v>
      </c>
      <c r="F9" s="93">
        <f>'Réserves 2022'!U$60</f>
        <v>0.85721181187169371</v>
      </c>
      <c r="G9" s="279">
        <f>'Réserves 2022'!V$60</f>
        <v>344.661</v>
      </c>
      <c r="H9" s="93">
        <f>'Réserves 2022'!W$60</f>
        <v>0.8849044711089773</v>
      </c>
      <c r="I9" s="279">
        <f>'Réserves 2022'!X$60</f>
        <v>355.726</v>
      </c>
      <c r="J9" s="93">
        <f>'Réserves 2022'!Y$60</f>
        <v>0.91331345260912045</v>
      </c>
      <c r="K9" s="279">
        <f>'Réserves 2022'!Z$60</f>
        <v>370.58699999999999</v>
      </c>
      <c r="L9" s="93">
        <f>'Réserves 2022'!AA$60</f>
        <v>0.95146852482544464</v>
      </c>
      <c r="M9" s="279">
        <f>'Réserves 2022'!AB$60</f>
        <v>369.84800000000001</v>
      </c>
      <c r="N9" s="93">
        <f>'Réserves 2022'!AC$60</f>
        <v>0.94957116944102482</v>
      </c>
      <c r="O9" s="279">
        <f>'Réserves 2022'!AD$60</f>
        <v>360.63499999999999</v>
      </c>
      <c r="P9" s="93">
        <f>'Réserves 2022'!AE$60</f>
        <v>0.92591712998681619</v>
      </c>
      <c r="Q9" s="279">
        <f>'Réserves 2022'!AF$60</f>
        <v>356.29300000000001</v>
      </c>
      <c r="R9" s="93">
        <f>'Réserves 2022'!AG$60</f>
        <v>0.91476920430460906</v>
      </c>
      <c r="S9" s="279">
        <f>'Réserves 2022'!AH$60</f>
        <v>342.02499999999998</v>
      </c>
      <c r="T9" s="93">
        <f>'Réserves 2022'!AI$60</f>
        <v>0.87813663782977469</v>
      </c>
      <c r="U9" s="279">
        <f>'Réserves 2022'!AJ$60</f>
        <v>316.40100000000001</v>
      </c>
      <c r="V9" s="93">
        <f>'Réserves 2022'!AK$60</f>
        <v>0.81234795803224491</v>
      </c>
      <c r="W9" s="279">
        <f>'Réserves 2022'!AL$60</f>
        <v>282.96800000000002</v>
      </c>
      <c r="X9" s="93">
        <f>'Réserves 2022'!AM$60</f>
        <v>0.72650995726457335</v>
      </c>
      <c r="Y9" s="279">
        <f>'Réserves 2022'!AN$60</f>
        <v>224.69399999999999</v>
      </c>
      <c r="Z9" s="93">
        <f>'Réserves 2022'!AO$60</f>
        <v>0.57689360046933236</v>
      </c>
      <c r="AA9" s="279">
        <f>'Réserves 2022'!AP$60</f>
        <v>192.642</v>
      </c>
      <c r="AB9" s="93">
        <f>'Réserves 2022'!AQ$60</f>
        <v>0.50099149202320292</v>
      </c>
      <c r="AC9" s="279">
        <f>'Réserves 2022'!AR$60</f>
        <v>149.18100000000001</v>
      </c>
      <c r="AD9" s="93">
        <f>'Réserves 2022'!AS$60</f>
        <v>0.40506449410042922</v>
      </c>
      <c r="AE9" s="279">
        <f>'Réserves 2022'!AT$60</f>
        <v>141.30000000000001</v>
      </c>
      <c r="AF9" s="93">
        <f>'Réserves 2022'!AU$60</f>
        <v>0.36278256538366255</v>
      </c>
      <c r="AG9" s="279">
        <f>'Réserves 2022'!AV$60</f>
        <v>131.15600000000001</v>
      </c>
      <c r="AH9" s="93">
        <f>'Réserves 2022'!AW$60</f>
        <v>0.33673821758994793</v>
      </c>
      <c r="AI9" s="279">
        <f>'Réserves 2022'!AX$60</f>
        <v>120.21599999999999</v>
      </c>
      <c r="AJ9" s="93">
        <f>'Réserves 2022'!AY$60</f>
        <v>0.30865016900327225</v>
      </c>
      <c r="AK9" s="279">
        <f>'Réserves 2022'!AZ$60</f>
        <v>110.492</v>
      </c>
      <c r="AL9" s="93">
        <f>'Réserves 2022'!BA$60</f>
        <v>0.28368415579880846</v>
      </c>
      <c r="AM9" s="279">
        <f>'Réserves 2022'!BB$60</f>
        <v>105.396</v>
      </c>
      <c r="AN9" s="93">
        <f>'Réserves 2022'!BC$60</f>
        <v>0.27060036278256538</v>
      </c>
      <c r="AO9" s="279">
        <f>'Réserves 2022'!BD$60</f>
        <v>100.834</v>
      </c>
      <c r="AP9" s="93">
        <f>'Réserves 2022'!BE$60</f>
        <v>0.25888759517265553</v>
      </c>
      <c r="AQ9" s="279">
        <f>'Réserves 2022'!BF$60</f>
        <v>94.870999999999981</v>
      </c>
      <c r="AR9" s="93">
        <f>'Réserves 2022'!BG$60</f>
        <v>0.24357781146860183</v>
      </c>
      <c r="AS9" s="279">
        <f>'Réserves 2022'!BH$60</f>
        <v>106.30100000000002</v>
      </c>
      <c r="AT9" s="93">
        <f>'Réserves 2022'!BI$60</f>
        <v>0.27292391707607017</v>
      </c>
      <c r="AU9" s="280"/>
      <c r="AV9" s="280"/>
      <c r="AW9" s="280"/>
      <c r="AX9" s="280"/>
      <c r="AY9" s="280"/>
      <c r="AZ9" s="280"/>
      <c r="BA9" s="280"/>
      <c r="BB9" s="280"/>
      <c r="BC9" s="279"/>
      <c r="BD9" s="93"/>
      <c r="BE9" s="281"/>
      <c r="BF9" s="282"/>
      <c r="BG9" s="269" t="s">
        <v>244</v>
      </c>
      <c r="BH9" s="93">
        <f>N9</f>
        <v>0.94957116944102482</v>
      </c>
      <c r="BI9" s="93">
        <f>P9</f>
        <v>0.92591712998681619</v>
      </c>
      <c r="BJ9" s="93">
        <f>R9</f>
        <v>0.91476920430460906</v>
      </c>
      <c r="BK9" s="93">
        <f>T9</f>
        <v>0.87813663782977469</v>
      </c>
      <c r="BL9" s="93">
        <f>V9</f>
        <v>0.81234795803224491</v>
      </c>
      <c r="BM9" s="93">
        <f>X9</f>
        <v>0.72650995726457335</v>
      </c>
      <c r="BN9" s="93">
        <f>Z9</f>
        <v>0.57689360046933236</v>
      </c>
      <c r="BO9" s="93">
        <f>AB9</f>
        <v>0.50099149202320292</v>
      </c>
      <c r="BP9" s="93">
        <f>AD9</f>
        <v>0.40506449410042922</v>
      </c>
      <c r="BQ9" s="93">
        <f>AF9</f>
        <v>0.36278256538366255</v>
      </c>
      <c r="BR9" s="93">
        <f>AH9</f>
        <v>0.33673821758994793</v>
      </c>
      <c r="BS9" s="93">
        <f>AJ9</f>
        <v>0.30865016900327225</v>
      </c>
      <c r="BT9" s="93">
        <f>AL9</f>
        <v>0.28368415579880846</v>
      </c>
      <c r="BU9" s="93">
        <f>AN9</f>
        <v>0.27060036278256538</v>
      </c>
      <c r="BV9" s="93">
        <f>AP9</f>
        <v>0.25888759517265553</v>
      </c>
      <c r="BW9" s="93">
        <f>AR9</f>
        <v>0.24357781146860183</v>
      </c>
      <c r="BX9" s="93">
        <f>AT9</f>
        <v>0.27292391707607017</v>
      </c>
      <c r="BY9" s="93"/>
    </row>
    <row r="10" spans="1:81">
      <c r="A10" s="283"/>
      <c r="B10" s="284"/>
      <c r="C10" s="285"/>
      <c r="D10" s="268"/>
      <c r="E10" s="285"/>
      <c r="F10" s="268"/>
      <c r="G10" s="285"/>
      <c r="H10" s="268"/>
      <c r="I10" s="285"/>
      <c r="J10" s="268"/>
      <c r="K10" s="286"/>
      <c r="L10" s="287"/>
      <c r="M10" s="285"/>
      <c r="N10" s="268"/>
      <c r="O10" s="285"/>
      <c r="P10" s="268"/>
      <c r="Q10" s="285"/>
      <c r="R10" s="268"/>
      <c r="S10" s="285"/>
      <c r="T10" s="268"/>
      <c r="U10" s="285"/>
      <c r="V10" s="268"/>
      <c r="W10" s="285"/>
      <c r="X10" s="268"/>
      <c r="Y10" s="285"/>
      <c r="Z10" s="268"/>
      <c r="AA10" s="285"/>
      <c r="AB10" s="268"/>
      <c r="AC10" s="285"/>
      <c r="AD10" s="268"/>
      <c r="AE10" s="285"/>
      <c r="AF10" s="268"/>
      <c r="AG10" s="285"/>
      <c r="AH10" s="268"/>
      <c r="AI10" s="285"/>
      <c r="AJ10" s="268"/>
      <c r="AK10" s="285"/>
      <c r="AL10" s="268"/>
      <c r="AM10" s="285"/>
      <c r="AN10" s="268"/>
      <c r="AO10" s="285"/>
      <c r="AP10" s="268"/>
      <c r="AQ10" s="285"/>
      <c r="AR10" s="268"/>
      <c r="AS10" s="285"/>
      <c r="AT10" s="268"/>
      <c r="AU10" s="268"/>
      <c r="AV10" s="268"/>
      <c r="AW10" s="268"/>
      <c r="AX10" s="268"/>
      <c r="AY10" s="268"/>
      <c r="AZ10" s="268"/>
      <c r="BA10" s="268"/>
      <c r="BB10" s="268"/>
      <c r="BC10" s="285"/>
      <c r="BD10" s="268"/>
      <c r="BE10" s="281"/>
      <c r="BF10" s="282"/>
      <c r="BM10" s="268"/>
      <c r="BN10" s="281"/>
      <c r="BO10" s="282"/>
      <c r="BP10" s="288"/>
    </row>
    <row r="12" spans="1:81">
      <c r="B12" s="163" t="s">
        <v>245</v>
      </c>
      <c r="C12" s="289" t="s">
        <v>246</v>
      </c>
      <c r="D12" s="163" t="s">
        <v>247</v>
      </c>
      <c r="E12" s="163" t="s">
        <v>248</v>
      </c>
      <c r="F12" s="163" t="s">
        <v>249</v>
      </c>
      <c r="G12" s="163" t="s">
        <v>250</v>
      </c>
      <c r="H12" s="163" t="s">
        <v>251</v>
      </c>
      <c r="I12" s="163" t="s">
        <v>252</v>
      </c>
      <c r="J12" s="163" t="s">
        <v>253</v>
      </c>
      <c r="K12" s="290" t="s">
        <v>254</v>
      </c>
      <c r="L12" s="290" t="s">
        <v>255</v>
      </c>
      <c r="M12" s="163" t="s">
        <v>256</v>
      </c>
    </row>
    <row r="13" spans="1:81">
      <c r="B13" s="291" t="s">
        <v>214</v>
      </c>
      <c r="C13" s="291" t="s">
        <v>215</v>
      </c>
      <c r="D13" s="291" t="s">
        <v>219</v>
      </c>
      <c r="E13" s="291" t="s">
        <v>220</v>
      </c>
      <c r="F13" s="291" t="s">
        <v>221</v>
      </c>
      <c r="G13" s="291" t="s">
        <v>222</v>
      </c>
      <c r="H13" s="291" t="s">
        <v>223</v>
      </c>
      <c r="I13" s="291" t="s">
        <v>209</v>
      </c>
      <c r="J13" s="291" t="s">
        <v>210</v>
      </c>
      <c r="K13" s="291" t="s">
        <v>211</v>
      </c>
      <c r="L13" s="291" t="s">
        <v>212</v>
      </c>
      <c r="M13" s="291" t="s">
        <v>213</v>
      </c>
      <c r="T13" s="292"/>
      <c r="U13" s="292"/>
      <c r="BI13" s="285"/>
      <c r="BK13" s="285"/>
      <c r="BM13" s="285"/>
      <c r="BO13" s="285"/>
      <c r="BQ13" s="285"/>
      <c r="BS13" s="285"/>
      <c r="BU13" s="285"/>
    </row>
    <row r="14" spans="1:81">
      <c r="A14" s="269" t="s">
        <v>239</v>
      </c>
      <c r="B14" s="293">
        <f t="shared" ref="B14:H14" si="0">IF(HLOOKUP(B$13,$C$3:$AT$11,2,0)="","",HLOOKUP(B$13,$C$3:$AT$11,2,0))</f>
        <v>0.74752581138257201</v>
      </c>
      <c r="C14" s="293">
        <f t="shared" si="0"/>
        <v>0.70659801021499502</v>
      </c>
      <c r="D14" s="293">
        <f t="shared" si="0"/>
        <v>0.60588275189248697</v>
      </c>
      <c r="E14" s="293">
        <f t="shared" si="0"/>
        <v>0.41895564981035999</v>
      </c>
      <c r="F14" s="293">
        <f t="shared" si="0"/>
        <v>0.35393548589047302</v>
      </c>
      <c r="G14" s="293">
        <f t="shared" si="0"/>
        <v>0.31470061926449899</v>
      </c>
      <c r="H14" s="293">
        <f t="shared" si="0"/>
        <v>0.31613270102619501</v>
      </c>
      <c r="I14" s="293">
        <f>IF(HLOOKUP(I$13,$C$3:$AT$11,3,0)="","",HLOOKUP(I$13,$C$3:$AT$11,3,0))</f>
        <v>0.44376700627711602</v>
      </c>
      <c r="J14" s="293">
        <f>IF(HLOOKUP(J$13,$C$3:$AT$11,3,0)="","",HLOOKUP(J$13,$C$3:$AT$11,3,0))</f>
        <v>0.74790431375849797</v>
      </c>
      <c r="K14" s="293">
        <f>IF(HLOOKUP(K$13,$C$3:$AT$11,3,0)="","",HLOOKUP(K$13,$C$3:$AT$11,3,0))</f>
        <v>0.88585327618654297</v>
      </c>
      <c r="L14" s="293">
        <f>IF(HLOOKUP(L$13,$C$3:$AT$11,3,0)="","",HLOOKUP(L$13,$C$3:$AT$11,3,0))</f>
        <v>0.92486529779150195</v>
      </c>
      <c r="M14" s="293">
        <f>IF(HLOOKUP(M$13,$C$3:$AT$11,3,0)="","",HLOOKUP(M$13,$C$3:$AT$11,3,0))</f>
        <v>0.961878321525656</v>
      </c>
      <c r="T14" s="294"/>
      <c r="U14" s="294"/>
      <c r="X14" s="294"/>
      <c r="Z14" s="294"/>
      <c r="AB14" s="294"/>
    </row>
    <row r="15" spans="1:81">
      <c r="A15" s="278" t="s">
        <v>240</v>
      </c>
      <c r="B15" s="293">
        <f t="shared" ref="B15:H15" si="1">IF(HLOOKUP(B$13,$C$3:$AT$11,3,0)="","",HLOOKUP(B$13,$C$3:$AT$11,3,0))</f>
        <v>0.98625031398732999</v>
      </c>
      <c r="C15" s="293">
        <f t="shared" si="1"/>
        <v>0.98777060447328402</v>
      </c>
      <c r="D15" s="293">
        <f t="shared" si="1"/>
        <v>0.94381106313808505</v>
      </c>
      <c r="E15" s="293">
        <f t="shared" si="1"/>
        <v>0.75043169148098099</v>
      </c>
      <c r="F15" s="293">
        <f t="shared" si="1"/>
        <v>0.64297738271553095</v>
      </c>
      <c r="G15" s="293">
        <f t="shared" si="1"/>
        <v>0.60731475405093005</v>
      </c>
      <c r="H15" s="293">
        <f t="shared" si="1"/>
        <v>0.61481809776940799</v>
      </c>
      <c r="I15" s="293">
        <f>IF(HLOOKUP(I$13,$C$3:$AT$11,4,0)="","",HLOOKUP(I$13,$C$3:$AT$11,4,0))</f>
        <v>0.68080853975136602</v>
      </c>
      <c r="J15" s="293">
        <f>IF(HLOOKUP(J$13,$C$3:$AT$11,4,0)="","",HLOOKUP(J$13,$C$3:$AT$11,4,0))</f>
        <v>0.74333340774581402</v>
      </c>
      <c r="K15" s="293">
        <f>IF(HLOOKUP(K$13,$C$3:$AT$11,4,0)="","",HLOOKUP(K$13,$C$3:$AT$11,4,0))</f>
        <v>0.87195231648240801</v>
      </c>
      <c r="L15" s="293">
        <f>IF(HLOOKUP(L$13,$C$3:$AT$11,4,0)="","",HLOOKUP(L$13,$C$3:$AT$11,4,0))</f>
        <v>0.88303539889247995</v>
      </c>
      <c r="M15" s="293">
        <f>IF(HLOOKUP(M$13,$C$3:$AT$11,4,0)="","",HLOOKUP(M$13,$C$3:$AT$11,4,0))</f>
        <v>0.91497936366823795</v>
      </c>
      <c r="T15" s="294"/>
      <c r="U15" s="294"/>
    </row>
    <row r="16" spans="1:81">
      <c r="A16" s="269" t="s">
        <v>241</v>
      </c>
      <c r="B16" s="293">
        <f t="shared" ref="B16:H16" si="2">IF(HLOOKUP(B$13,$C$3:$AT$11,4,0)="","",HLOOKUP(B$13,$C$3:$AT$11,4,0))</f>
        <v>0.96266025493715901</v>
      </c>
      <c r="C16" s="293">
        <f t="shared" si="2"/>
        <v>0.94540794016186103</v>
      </c>
      <c r="D16" s="293">
        <f t="shared" si="2"/>
        <v>0.74425524706475599</v>
      </c>
      <c r="E16" s="293">
        <f t="shared" si="2"/>
        <v>0.53940994404619202</v>
      </c>
      <c r="F16" s="293">
        <f t="shared" si="2"/>
        <v>0.41797402829337599</v>
      </c>
      <c r="G16" s="293">
        <f t="shared" si="2"/>
        <v>0.38172026772735101</v>
      </c>
      <c r="H16" s="293">
        <f t="shared" si="2"/>
        <v>0.60520799820359505</v>
      </c>
      <c r="I16" s="293">
        <f>IF(HLOOKUP(I$13,$C$3:$AT$11,5,0)="","",HLOOKUP(I$13,$C$3:$AT$11,5,0))</f>
        <v>0.81404452405120797</v>
      </c>
      <c r="J16" s="293">
        <f>IF(HLOOKUP(J$13,$C$3:$AT$11,5,0)="","",HLOOKUP(J$13,$C$3:$AT$11,5,0))</f>
        <v>0.85969526776018002</v>
      </c>
      <c r="K16" s="293">
        <f>IF(HLOOKUP(K$13,$C$3:$AT$11,5,0)="","",HLOOKUP(K$13,$C$3:$AT$11,5,0))</f>
        <v>0.88817248637923296</v>
      </c>
      <c r="L16" s="293">
        <f>IF(HLOOKUP(L$13,$C$3:$AT$11,5,0)="","",HLOOKUP(L$13,$C$3:$AT$11,5,0))</f>
        <v>0.94588855724267595</v>
      </c>
      <c r="M16" s="293">
        <f>IF(HLOOKUP(M$13,$C$3:$AT$11,5,0)="","",HLOOKUP(M$13,$C$3:$AT$11,5,0))</f>
        <v>0.97817657031125904</v>
      </c>
      <c r="T16" s="294"/>
      <c r="U16" s="294"/>
    </row>
    <row r="17" spans="1:21">
      <c r="A17" s="269" t="s">
        <v>242</v>
      </c>
      <c r="B17" s="293">
        <f t="shared" ref="B17:H17" si="3">IF(HLOOKUP(B$13,$C$3:$AT$11,5,0)="","",HLOOKUP(B$13,$C$3:$AT$11,5,0))</f>
        <v>0.98694060964832198</v>
      </c>
      <c r="C17" s="293">
        <f t="shared" si="3"/>
        <v>0.97990469074391895</v>
      </c>
      <c r="D17" s="293">
        <f t="shared" si="3"/>
        <v>0.79058681853533697</v>
      </c>
      <c r="E17" s="293">
        <f t="shared" si="3"/>
        <v>0.51065696152830997</v>
      </c>
      <c r="F17" s="293">
        <f t="shared" si="3"/>
        <v>0.41972053298595802</v>
      </c>
      <c r="G17" s="293">
        <f t="shared" si="3"/>
        <v>0.49802697496195097</v>
      </c>
      <c r="H17" s="293">
        <f t="shared" si="3"/>
        <v>0.52008020789971698</v>
      </c>
      <c r="I17" s="293">
        <f>IF(HLOOKUP(I$13,$C$3:$AT$11,6,0)="","",HLOOKUP(I$13,$C$3:$AT$11,6,0))</f>
        <v>0.76840582352027498</v>
      </c>
      <c r="J17" s="293">
        <f>IF(HLOOKUP(J$13,$C$3:$AT$11,6,0)="","",HLOOKUP(J$13,$C$3:$AT$11,6,0))</f>
        <v>0.87499406274110103</v>
      </c>
      <c r="K17" s="293">
        <f>IF(HLOOKUP(K$13,$C$3:$AT$11,6,0)="","",HLOOKUP(K$13,$C$3:$AT$11,6,0))</f>
        <v>0.93404571881912102</v>
      </c>
      <c r="L17" s="293">
        <f>IF(HLOOKUP(L$13,$C$3:$AT$11,6,0)="","",HLOOKUP(L$13,$C$3:$AT$11,6,0))</f>
        <v>0.93864404560328296</v>
      </c>
      <c r="M17" s="293">
        <f>IF(HLOOKUP(M$13,$C$3:$AT$11,6,0)="","",HLOOKUP(M$13,$C$3:$AT$11,6,0))</f>
        <v>0.93150906507107401</v>
      </c>
      <c r="T17" s="294"/>
      <c r="U17" s="294"/>
    </row>
    <row r="18" spans="1:21">
      <c r="A18" s="269" t="s">
        <v>243</v>
      </c>
      <c r="B18" s="293">
        <f t="shared" ref="B18:H18" si="4">IF(HLOOKUP(B$13,$C$3:$AT$11,6,0)="","",HLOOKUP(B$13,$C$3:$AT$11,6,0))</f>
        <v>0.95992831642444798</v>
      </c>
      <c r="C18" s="293">
        <f t="shared" si="4"/>
        <v>0.95628251852745705</v>
      </c>
      <c r="D18" s="293">
        <f t="shared" si="4"/>
        <v>0.85107366100526805</v>
      </c>
      <c r="E18" s="293">
        <f t="shared" si="4"/>
        <v>0.62594498696370504</v>
      </c>
      <c r="F18" s="293">
        <f t="shared" si="4"/>
        <v>0.55715494255942699</v>
      </c>
      <c r="G18" s="293">
        <f t="shared" si="4"/>
        <v>0.49875542216157298</v>
      </c>
      <c r="H18" s="293">
        <f t="shared" si="4"/>
        <v>0.53590661622457103</v>
      </c>
      <c r="I18" s="293">
        <f>IF(HLOOKUP(I$13,$C$3:$AT$11,7,0)="","",HLOOKUP(I$13,$C$3:$AT$11,7,0))</f>
        <v>0.74138327220631117</v>
      </c>
      <c r="J18" s="293">
        <f>IF(HLOOKUP(J$13,$C$3:$AT$11,7,0)="","",HLOOKUP(J$13,$C$3:$AT$11,7,0))</f>
        <v>0.85721181187169371</v>
      </c>
      <c r="K18" s="293">
        <f>IF(HLOOKUP(K$13,$C$3:$AT$11,7,0)="","",HLOOKUP(K$13,$C$3:$AT$11,7,0))</f>
        <v>0.8849044711089773</v>
      </c>
      <c r="L18" s="293">
        <f>IF(HLOOKUP(L$13,$C$3:$AT$11,7,0)="","",HLOOKUP(L$13,$C$3:$AT$11,7,0))</f>
        <v>0.91331345260912045</v>
      </c>
      <c r="M18" s="293">
        <f>IF(HLOOKUP(M$13,$C$3:$AT$11,7,0)="","",HLOOKUP(M$13,$C$3:$AT$11,7,0))</f>
        <v>0.95146852482544464</v>
      </c>
      <c r="T18" s="294"/>
      <c r="U18" s="294"/>
    </row>
    <row r="19" spans="1:21">
      <c r="A19" s="269" t="s">
        <v>244</v>
      </c>
      <c r="B19" s="293">
        <f t="shared" ref="B19:H19" si="5">IF(HLOOKUP(B$13,$C$3:$AT$11,7,0)="","",HLOOKUP(B$13,$C$3:$AT$11,7,0))</f>
        <v>0.94957116944102482</v>
      </c>
      <c r="C19" s="293">
        <f t="shared" si="5"/>
        <v>0.87813663782977469</v>
      </c>
      <c r="D19" s="293">
        <f t="shared" si="5"/>
        <v>0.57689360046933236</v>
      </c>
      <c r="E19" s="293">
        <f t="shared" si="5"/>
        <v>0.36278256538366255</v>
      </c>
      <c r="F19" s="293">
        <f t="shared" si="5"/>
        <v>0.28368415579880846</v>
      </c>
      <c r="G19" s="293">
        <f t="shared" si="5"/>
        <v>0.24357781146860183</v>
      </c>
      <c r="H19" s="293">
        <f t="shared" si="5"/>
        <v>0.27292391707607017</v>
      </c>
      <c r="I19" s="293" t="str">
        <f>IF(HLOOKUP(I$13,$C$3:$AT$11,8,0)="","",HLOOKUP(I$13,$C$3:$AT$11,8,0))</f>
        <v/>
      </c>
      <c r="J19" s="293" t="str">
        <f>IF(HLOOKUP(J$13,$C$3:$AT$11,8,0)="","",HLOOKUP(J$13,$C$3:$AT$11,8,0))</f>
        <v/>
      </c>
      <c r="K19" s="293" t="str">
        <f>IF(HLOOKUP(K$13,$C$3:$AT$11,8,0)="","",HLOOKUP(K$13,$C$3:$AT$11,8,0))</f>
        <v/>
      </c>
      <c r="L19" s="293" t="str">
        <f>IF(HLOOKUP(L$13,$C$3:$AT$11,8,0)="","",HLOOKUP(L$13,$C$3:$AT$11,8,0))</f>
        <v/>
      </c>
      <c r="M19" s="293" t="str">
        <f>IF(HLOOKUP(M$13,$C$3:$AT$11,8,0)="","",HLOOKUP(M$13,$C$3:$AT$11,8,0))</f>
        <v/>
      </c>
    </row>
    <row r="20" spans="1:21">
      <c r="K20" s="265"/>
      <c r="L20" s="265"/>
    </row>
    <row r="21" spans="1:21">
      <c r="A21" s="295" t="s">
        <v>257</v>
      </c>
      <c r="B21" s="296">
        <f t="shared" ref="B21:J21" si="6">MIN(B14:B18)</f>
        <v>0.74752581138257201</v>
      </c>
      <c r="C21" s="296">
        <f t="shared" si="6"/>
        <v>0.70659801021499502</v>
      </c>
      <c r="D21" s="296">
        <f t="shared" si="6"/>
        <v>0.60588275189248697</v>
      </c>
      <c r="E21" s="296">
        <f t="shared" si="6"/>
        <v>0.41895564981035999</v>
      </c>
      <c r="F21" s="296">
        <f t="shared" si="6"/>
        <v>0.35393548589047302</v>
      </c>
      <c r="G21" s="296">
        <f t="shared" si="6"/>
        <v>0.31470061926449899</v>
      </c>
      <c r="H21" s="296">
        <f t="shared" si="6"/>
        <v>0.31613270102619501</v>
      </c>
      <c r="I21" s="296">
        <f t="shared" si="6"/>
        <v>0.44376700627711602</v>
      </c>
      <c r="J21" s="296">
        <f t="shared" si="6"/>
        <v>0.74333340774581402</v>
      </c>
      <c r="K21" s="296">
        <f>MIN(K14:K17)</f>
        <v>0.87195231648240801</v>
      </c>
      <c r="L21" s="296">
        <f>MIN(L14:L17)</f>
        <v>0.88303539889247995</v>
      </c>
      <c r="M21" s="296">
        <f>MIN(M14:M17)</f>
        <v>0.91497936366823795</v>
      </c>
    </row>
    <row r="22" spans="1:21">
      <c r="A22" s="295" t="s">
        <v>258</v>
      </c>
      <c r="B22" s="296">
        <f t="shared" ref="B22:M22" si="7">MAX(B14:B18)</f>
        <v>0.98694060964832198</v>
      </c>
      <c r="C22" s="296">
        <f t="shared" si="7"/>
        <v>0.98777060447328402</v>
      </c>
      <c r="D22" s="296">
        <f t="shared" si="7"/>
        <v>0.94381106313808505</v>
      </c>
      <c r="E22" s="296">
        <f t="shared" si="7"/>
        <v>0.75043169148098099</v>
      </c>
      <c r="F22" s="296">
        <f t="shared" si="7"/>
        <v>0.64297738271553095</v>
      </c>
      <c r="G22" s="296">
        <f t="shared" si="7"/>
        <v>0.60731475405093005</v>
      </c>
      <c r="H22" s="296">
        <f t="shared" si="7"/>
        <v>0.61481809776940799</v>
      </c>
      <c r="I22" s="296">
        <f t="shared" si="7"/>
        <v>0.81404452405120797</v>
      </c>
      <c r="J22" s="296">
        <f t="shared" si="7"/>
        <v>0.87499406274110103</v>
      </c>
      <c r="K22" s="296">
        <f t="shared" si="7"/>
        <v>0.93404571881912102</v>
      </c>
      <c r="L22" s="296">
        <f t="shared" si="7"/>
        <v>0.94588855724267595</v>
      </c>
      <c r="M22" s="296">
        <f t="shared" si="7"/>
        <v>0.97817657031125904</v>
      </c>
    </row>
    <row r="23" spans="1:21">
      <c r="A23" s="295" t="s">
        <v>259</v>
      </c>
      <c r="B23" s="296">
        <f t="shared" ref="B23:M23" si="8">B22-B21</f>
        <v>0.23941479826574996</v>
      </c>
      <c r="C23" s="296">
        <f t="shared" si="8"/>
        <v>0.281172594258289</v>
      </c>
      <c r="D23" s="296">
        <f t="shared" si="8"/>
        <v>0.33792831124559808</v>
      </c>
      <c r="E23" s="296">
        <f t="shared" si="8"/>
        <v>0.331476041670621</v>
      </c>
      <c r="F23" s="296">
        <f t="shared" si="8"/>
        <v>0.28904189682505793</v>
      </c>
      <c r="G23" s="296">
        <f t="shared" si="8"/>
        <v>0.29261413478643106</v>
      </c>
      <c r="H23" s="296">
        <f t="shared" si="8"/>
        <v>0.29868539674321298</v>
      </c>
      <c r="I23" s="296">
        <f t="shared" si="8"/>
        <v>0.37027751777409196</v>
      </c>
      <c r="J23" s="296">
        <f t="shared" si="8"/>
        <v>0.13166065499528701</v>
      </c>
      <c r="K23" s="296">
        <f t="shared" si="8"/>
        <v>6.2093402336713011E-2</v>
      </c>
      <c r="L23" s="296">
        <f t="shared" si="8"/>
        <v>6.2853158350196003E-2</v>
      </c>
      <c r="M23" s="296">
        <f t="shared" si="8"/>
        <v>6.3197206643021087E-2</v>
      </c>
    </row>
    <row r="24" spans="1:21">
      <c r="K24" s="265"/>
      <c r="L24" s="265"/>
    </row>
    <row r="25" spans="1:21">
      <c r="K25" s="265"/>
      <c r="L25" s="265"/>
    </row>
    <row r="26" spans="1:21">
      <c r="K26" s="265"/>
      <c r="L26" s="265"/>
    </row>
    <row r="27" spans="1:21">
      <c r="K27" s="265"/>
      <c r="L27" s="265"/>
    </row>
    <row r="28" spans="1:21">
      <c r="K28" s="265"/>
      <c r="L28" s="265"/>
    </row>
    <row r="29" spans="1:21">
      <c r="K29" s="265"/>
      <c r="L29" s="265"/>
    </row>
    <row r="30" spans="1:21">
      <c r="K30" s="265"/>
      <c r="L30" s="265"/>
    </row>
    <row r="31" spans="1:21">
      <c r="K31" s="265"/>
      <c r="L31" s="265"/>
    </row>
    <row r="32" spans="1:21" s="261" customFormat="1">
      <c r="A32" s="261" t="s">
        <v>260</v>
      </c>
      <c r="C32" s="262"/>
      <c r="K32" s="263"/>
      <c r="L32" s="263"/>
      <c r="N32" s="264"/>
      <c r="P32" s="264"/>
      <c r="R32" s="264"/>
      <c r="S32" s="264"/>
    </row>
    <row r="33" spans="1:54">
      <c r="K33" s="265"/>
      <c r="L33" s="265"/>
    </row>
    <row r="34" spans="1:54" s="25" customFormat="1">
      <c r="B34" s="21" t="s">
        <v>207</v>
      </c>
      <c r="C34" s="266" t="s">
        <v>208</v>
      </c>
      <c r="D34" s="266" t="s">
        <v>209</v>
      </c>
      <c r="E34" s="266" t="s">
        <v>208</v>
      </c>
      <c r="F34" s="266" t="s">
        <v>210</v>
      </c>
      <c r="G34" s="266" t="s">
        <v>208</v>
      </c>
      <c r="H34" s="266" t="s">
        <v>211</v>
      </c>
      <c r="I34" s="266" t="s">
        <v>208</v>
      </c>
      <c r="J34" s="266" t="s">
        <v>212</v>
      </c>
      <c r="K34" s="266" t="s">
        <v>208</v>
      </c>
      <c r="L34" s="266" t="s">
        <v>213</v>
      </c>
      <c r="M34" s="266" t="s">
        <v>208</v>
      </c>
      <c r="N34" s="266" t="s">
        <v>214</v>
      </c>
      <c r="O34" s="266">
        <v>10</v>
      </c>
      <c r="P34" s="266" t="s">
        <v>214</v>
      </c>
      <c r="Q34" s="266">
        <v>20</v>
      </c>
      <c r="R34" s="266" t="s">
        <v>214</v>
      </c>
      <c r="S34" s="266" t="s">
        <v>208</v>
      </c>
      <c r="T34" s="266" t="s">
        <v>215</v>
      </c>
      <c r="U34" s="266" t="s">
        <v>216</v>
      </c>
      <c r="V34" s="266" t="s">
        <v>215</v>
      </c>
      <c r="W34" s="266" t="s">
        <v>217</v>
      </c>
      <c r="X34" s="266" t="s">
        <v>218</v>
      </c>
      <c r="Y34" s="266" t="s">
        <v>208</v>
      </c>
      <c r="Z34" s="266" t="s">
        <v>261</v>
      </c>
      <c r="AA34" s="266" t="s">
        <v>216</v>
      </c>
      <c r="AB34" s="266" t="s">
        <v>219</v>
      </c>
      <c r="AC34" s="266" t="s">
        <v>217</v>
      </c>
      <c r="AD34" s="266" t="s">
        <v>219</v>
      </c>
      <c r="AE34" s="266" t="s">
        <v>208</v>
      </c>
      <c r="AF34" s="266" t="s">
        <v>220</v>
      </c>
      <c r="AG34" s="266" t="s">
        <v>216</v>
      </c>
      <c r="AH34" s="266" t="s">
        <v>220</v>
      </c>
      <c r="AI34" s="266" t="s">
        <v>217</v>
      </c>
      <c r="AJ34" s="266" t="s">
        <v>220</v>
      </c>
      <c r="AK34" s="266" t="s">
        <v>208</v>
      </c>
      <c r="AL34" s="266" t="s">
        <v>221</v>
      </c>
      <c r="AM34" s="266" t="s">
        <v>216</v>
      </c>
      <c r="AN34" s="266" t="s">
        <v>221</v>
      </c>
      <c r="AO34" s="266" t="s">
        <v>217</v>
      </c>
      <c r="AP34" s="266" t="s">
        <v>221</v>
      </c>
      <c r="AQ34" s="266" t="s">
        <v>208</v>
      </c>
      <c r="AR34" s="266" t="s">
        <v>222</v>
      </c>
      <c r="AS34" s="266" t="s">
        <v>208</v>
      </c>
      <c r="AT34" s="266" t="s">
        <v>223</v>
      </c>
      <c r="AU34" s="297"/>
      <c r="AV34" s="297"/>
      <c r="AW34" s="297"/>
      <c r="AX34" s="297"/>
      <c r="AY34" s="297"/>
      <c r="AZ34" s="297"/>
      <c r="BA34" s="297"/>
      <c r="BB34" s="297"/>
    </row>
    <row r="35" spans="1:54">
      <c r="A35" s="298">
        <v>2017</v>
      </c>
      <c r="B35" s="252">
        <v>171</v>
      </c>
      <c r="C35" s="299">
        <v>10.16</v>
      </c>
      <c r="D35" s="256">
        <v>0.108085106382979</v>
      </c>
      <c r="E35" s="300"/>
      <c r="F35" s="301"/>
      <c r="G35" s="302"/>
      <c r="H35" s="301"/>
      <c r="I35" s="302"/>
      <c r="J35" s="301"/>
      <c r="K35" s="302"/>
      <c r="L35" s="301"/>
      <c r="M35" s="302"/>
      <c r="N35" s="301"/>
      <c r="O35" s="302"/>
      <c r="P35" s="301"/>
      <c r="Q35" s="299">
        <v>159.84</v>
      </c>
      <c r="R35" s="256">
        <v>0.93473684210526298</v>
      </c>
      <c r="S35" s="299">
        <v>156.4</v>
      </c>
      <c r="T35" s="256">
        <v>0.914619883040936</v>
      </c>
      <c r="U35" s="299">
        <v>157.33000000000001</v>
      </c>
      <c r="V35" s="256">
        <v>0.92005847953216402</v>
      </c>
      <c r="W35" s="299">
        <v>149</v>
      </c>
      <c r="X35" s="256">
        <v>0.87134502923976598</v>
      </c>
      <c r="Y35" s="299">
        <v>141.13999999999999</v>
      </c>
      <c r="Z35" s="256">
        <v>0.82538011695906399</v>
      </c>
      <c r="AA35" s="299">
        <v>126.97</v>
      </c>
      <c r="AB35" s="256">
        <v>0.74251461988304102</v>
      </c>
      <c r="AC35" s="299">
        <v>105.39</v>
      </c>
      <c r="AD35" s="256">
        <v>0.61631578947368404</v>
      </c>
      <c r="AE35" s="299">
        <v>86.9</v>
      </c>
      <c r="AF35" s="256">
        <v>0.50818713450292397</v>
      </c>
      <c r="AG35" s="299">
        <v>72.251000000000005</v>
      </c>
      <c r="AH35" s="256">
        <v>0.42252046783625702</v>
      </c>
      <c r="AI35" s="299">
        <v>70.19</v>
      </c>
      <c r="AJ35" s="256">
        <v>0.41046783625730998</v>
      </c>
      <c r="AK35" s="299">
        <v>65.153000000000006</v>
      </c>
      <c r="AL35" s="256">
        <v>0.38101169590643302</v>
      </c>
      <c r="AM35" s="299">
        <v>61.326000000000001</v>
      </c>
      <c r="AN35" s="256">
        <v>0.35863157894736802</v>
      </c>
      <c r="AO35" s="299">
        <v>49.186</v>
      </c>
      <c r="AP35" s="256">
        <v>0.35902189781021898</v>
      </c>
      <c r="AQ35" s="299">
        <v>49.478999999999999</v>
      </c>
      <c r="AR35" s="256">
        <v>0.28935087719298203</v>
      </c>
      <c r="AS35" s="299">
        <v>28.649000000000001</v>
      </c>
      <c r="AT35" s="256">
        <v>0.21540601503759399</v>
      </c>
      <c r="AU35" s="259"/>
      <c r="AV35" s="259"/>
      <c r="AW35" s="259"/>
      <c r="AX35" s="259"/>
      <c r="AY35" s="259"/>
      <c r="AZ35" s="259"/>
      <c r="BA35" s="259"/>
      <c r="BB35" s="259"/>
    </row>
    <row r="36" spans="1:54">
      <c r="A36" s="303">
        <v>2018</v>
      </c>
      <c r="B36" s="304">
        <v>157</v>
      </c>
      <c r="C36" s="305"/>
      <c r="D36" s="306"/>
      <c r="E36" s="307"/>
      <c r="F36" s="308"/>
      <c r="G36" s="307"/>
      <c r="H36" s="308"/>
      <c r="I36" s="307"/>
      <c r="J36" s="308"/>
      <c r="K36" s="307"/>
      <c r="L36" s="308"/>
      <c r="M36" s="307"/>
      <c r="N36" s="308"/>
      <c r="O36" s="307"/>
      <c r="P36" s="308"/>
      <c r="Q36" s="307"/>
      <c r="R36" s="309"/>
      <c r="S36" s="310">
        <v>157</v>
      </c>
      <c r="T36" s="311">
        <v>1</v>
      </c>
      <c r="U36" s="310">
        <v>157</v>
      </c>
      <c r="V36" s="311">
        <v>1</v>
      </c>
      <c r="W36" s="310">
        <v>157</v>
      </c>
      <c r="X36" s="311">
        <v>1</v>
      </c>
      <c r="Y36" s="310">
        <v>156.852</v>
      </c>
      <c r="Z36" s="311">
        <v>0.99905732484076504</v>
      </c>
      <c r="AA36" s="310">
        <v>151.822</v>
      </c>
      <c r="AB36" s="311">
        <v>0.96701910828025495</v>
      </c>
      <c r="AC36" s="310">
        <v>148.619</v>
      </c>
      <c r="AD36" s="311">
        <v>0.94661783439490399</v>
      </c>
      <c r="AE36" s="310">
        <v>138.696</v>
      </c>
      <c r="AF36" s="311">
        <v>0.88341401273885301</v>
      </c>
      <c r="AG36" s="310">
        <v>133.71600000000001</v>
      </c>
      <c r="AH36" s="311">
        <v>0.85169426751592403</v>
      </c>
      <c r="AI36" s="310">
        <v>127.131</v>
      </c>
      <c r="AJ36" s="311">
        <v>0.80975159235668803</v>
      </c>
      <c r="AK36" s="310">
        <v>116.02563000000001</v>
      </c>
      <c r="AL36" s="311">
        <v>0.73901675159235702</v>
      </c>
      <c r="AM36" s="310">
        <v>109.39583</v>
      </c>
      <c r="AN36" s="311">
        <v>0.69678872611465004</v>
      </c>
      <c r="AO36" s="310">
        <v>103.617</v>
      </c>
      <c r="AP36" s="311">
        <v>0.65998089171974506</v>
      </c>
      <c r="AQ36" s="310">
        <v>97.13</v>
      </c>
      <c r="AR36" s="311">
        <v>0.61866242038216601</v>
      </c>
      <c r="AS36" s="312"/>
      <c r="AT36" s="313"/>
      <c r="AU36" s="314"/>
      <c r="AV36" s="314"/>
      <c r="AW36" s="314"/>
      <c r="AX36" s="314"/>
      <c r="AY36" s="314"/>
      <c r="AZ36" s="314"/>
      <c r="BA36" s="314"/>
      <c r="BB36" s="314"/>
    </row>
    <row r="37" spans="1:54">
      <c r="A37" s="315">
        <v>2019</v>
      </c>
      <c r="B37" s="316">
        <v>157</v>
      </c>
      <c r="C37" s="317"/>
      <c r="D37" s="318"/>
      <c r="E37" s="317"/>
      <c r="F37" s="318"/>
      <c r="G37" s="317"/>
      <c r="H37" s="318"/>
      <c r="I37" s="317"/>
      <c r="J37" s="318"/>
      <c r="K37" s="317"/>
      <c r="L37" s="318"/>
      <c r="M37" s="317"/>
      <c r="N37" s="318"/>
      <c r="O37" s="317"/>
      <c r="P37" s="318"/>
      <c r="Q37" s="317"/>
      <c r="R37" s="318"/>
      <c r="S37" s="319">
        <v>156.958</v>
      </c>
      <c r="T37" s="71">
        <v>0.999732484076433</v>
      </c>
      <c r="U37" s="319">
        <v>156.22399999999999</v>
      </c>
      <c r="V37" s="71">
        <v>0.99505732484076403</v>
      </c>
      <c r="W37" s="319">
        <v>147.10599999999999</v>
      </c>
      <c r="X37" s="71">
        <v>0.93698089171974597</v>
      </c>
      <c r="Y37" s="319">
        <v>133.5762</v>
      </c>
      <c r="Z37" s="71">
        <v>0.85080382165605095</v>
      </c>
      <c r="AA37" s="319">
        <v>115.657</v>
      </c>
      <c r="AB37" s="71">
        <v>0.73666878980891703</v>
      </c>
      <c r="AC37" s="319">
        <v>100.3764</v>
      </c>
      <c r="AD37" s="71">
        <v>0.63934012738853496</v>
      </c>
      <c r="AE37" s="319">
        <v>80.923000000000002</v>
      </c>
      <c r="AF37" s="71">
        <v>0.51543312101910799</v>
      </c>
      <c r="AG37" s="319">
        <v>64.209999999999994</v>
      </c>
      <c r="AH37" s="71">
        <v>0.408980891719745</v>
      </c>
      <c r="AI37" s="319">
        <v>51.136000000000003</v>
      </c>
      <c r="AJ37" s="71">
        <v>0.32570700636942701</v>
      </c>
      <c r="AK37" s="319">
        <v>43.262999999999998</v>
      </c>
      <c r="AL37" s="71">
        <v>0.27556050955414002</v>
      </c>
      <c r="AM37" s="319">
        <v>35.970999999999997</v>
      </c>
      <c r="AN37" s="71">
        <v>0.229114649681529</v>
      </c>
      <c r="AO37" s="319">
        <v>29.2392</v>
      </c>
      <c r="AP37" s="71">
        <v>0.186236942675159</v>
      </c>
      <c r="AQ37" s="319">
        <v>25.568999999999999</v>
      </c>
      <c r="AR37" s="71">
        <v>0.16285987261146501</v>
      </c>
      <c r="AS37" s="320"/>
      <c r="AT37" s="320"/>
      <c r="AU37" s="321"/>
      <c r="AV37" s="321"/>
      <c r="AW37" s="321"/>
      <c r="AX37" s="321"/>
      <c r="AY37" s="321"/>
      <c r="AZ37" s="321"/>
      <c r="BA37" s="321"/>
      <c r="BB37" s="321"/>
    </row>
    <row r="38" spans="1:54">
      <c r="A38" s="315">
        <v>2020</v>
      </c>
      <c r="B38" s="316">
        <v>161.5</v>
      </c>
      <c r="C38" s="317"/>
      <c r="D38" s="318"/>
      <c r="E38" s="317"/>
      <c r="F38" s="318"/>
      <c r="G38" s="317"/>
      <c r="H38" s="318"/>
      <c r="I38" s="317"/>
      <c r="J38" s="318"/>
      <c r="K38" s="317"/>
      <c r="L38" s="318"/>
      <c r="M38" s="317"/>
      <c r="N38" s="318"/>
      <c r="O38" s="317"/>
      <c r="P38" s="318"/>
      <c r="Q38" s="317"/>
      <c r="R38" s="318"/>
      <c r="S38" s="319">
        <v>161.88999999999999</v>
      </c>
      <c r="T38" s="71">
        <v>1.0024148606811101</v>
      </c>
      <c r="U38" s="319">
        <v>161.77799999999999</v>
      </c>
      <c r="V38" s="71">
        <v>1.0017213622290999</v>
      </c>
      <c r="W38" s="319">
        <v>157.46</v>
      </c>
      <c r="X38" s="71">
        <v>0.97498452012383896</v>
      </c>
      <c r="Y38" s="319">
        <v>140.1</v>
      </c>
      <c r="Z38" s="71">
        <v>0.86749226006191904</v>
      </c>
      <c r="AA38" s="319">
        <v>113.672</v>
      </c>
      <c r="AB38" s="71">
        <v>0.70385139318885404</v>
      </c>
      <c r="AC38" s="319">
        <v>100.97799999999999</v>
      </c>
      <c r="AD38" s="71">
        <v>0.62525077399380802</v>
      </c>
      <c r="AE38" s="319">
        <v>76.869</v>
      </c>
      <c r="AF38" s="71">
        <v>0.475969040247678</v>
      </c>
      <c r="AG38" s="319">
        <v>63.454999999999998</v>
      </c>
      <c r="AH38" s="71">
        <v>0.39291021671826598</v>
      </c>
      <c r="AI38" s="319">
        <v>48.749000000000002</v>
      </c>
      <c r="AJ38" s="71">
        <v>0.30185139318885401</v>
      </c>
      <c r="AK38" s="319">
        <v>45.448999999999998</v>
      </c>
      <c r="AL38" s="71">
        <v>0.281417956656347</v>
      </c>
      <c r="AM38" s="319">
        <v>42.338999999999999</v>
      </c>
      <c r="AN38" s="71">
        <v>0.26216099071207399</v>
      </c>
      <c r="AO38" s="319">
        <v>38.883000000000003</v>
      </c>
      <c r="AP38" s="71">
        <v>0.240761609907121</v>
      </c>
      <c r="AQ38" s="319">
        <v>35.262999999999998</v>
      </c>
      <c r="AR38" s="71">
        <v>0.218346749226006</v>
      </c>
      <c r="AS38" s="320">
        <v>9.6349999999999998</v>
      </c>
      <c r="AT38" s="320">
        <v>5.9659442724458202E-2</v>
      </c>
      <c r="AU38" s="321"/>
      <c r="AV38" s="321"/>
      <c r="AW38" s="321"/>
      <c r="AX38" s="321"/>
      <c r="AY38" s="321"/>
      <c r="AZ38" s="321"/>
      <c r="BA38" s="321"/>
      <c r="BB38" s="321"/>
    </row>
    <row r="39" spans="1:54">
      <c r="A39" s="315">
        <v>2021</v>
      </c>
      <c r="B39" s="316">
        <v>161.5</v>
      </c>
      <c r="C39" s="317"/>
      <c r="D39" s="318"/>
      <c r="E39" s="317"/>
      <c r="F39" s="318"/>
      <c r="G39" s="317"/>
      <c r="H39" s="318"/>
      <c r="I39" s="317"/>
      <c r="J39" s="318"/>
      <c r="K39" s="317"/>
      <c r="L39" s="318"/>
      <c r="M39" s="317"/>
      <c r="N39" s="318"/>
      <c r="O39" s="317"/>
      <c r="P39" s="318"/>
      <c r="Q39" s="317"/>
      <c r="R39" s="318"/>
      <c r="S39" s="319">
        <v>162.6</v>
      </c>
      <c r="T39" s="71">
        <v>1</v>
      </c>
      <c r="U39" s="319">
        <v>162.298</v>
      </c>
      <c r="V39" s="71">
        <v>0.99814268142681395</v>
      </c>
      <c r="W39" s="319">
        <v>162.762</v>
      </c>
      <c r="X39" s="71">
        <v>0.98703456640388099</v>
      </c>
      <c r="Y39" s="319">
        <v>150.97200000000001</v>
      </c>
      <c r="Z39" s="71">
        <v>0.91553668890236495</v>
      </c>
      <c r="AA39" s="319">
        <v>149.96</v>
      </c>
      <c r="AB39" s="71">
        <v>0.90939963614311703</v>
      </c>
      <c r="AC39" s="319">
        <v>129.232</v>
      </c>
      <c r="AD39" s="71">
        <v>0.78369921164342005</v>
      </c>
      <c r="AE39" s="319">
        <v>112.988</v>
      </c>
      <c r="AF39" s="71">
        <v>0.65201685036643797</v>
      </c>
      <c r="AG39" s="319">
        <v>92.132000000000005</v>
      </c>
      <c r="AH39" s="71">
        <v>0.53166368515205698</v>
      </c>
      <c r="AI39" s="319">
        <v>89.200999999999993</v>
      </c>
      <c r="AJ39" s="71">
        <v>0.51474984130648005</v>
      </c>
      <c r="AK39" s="319">
        <v>89.016000000000005</v>
      </c>
      <c r="AL39" s="71">
        <v>0.52059184747646103</v>
      </c>
      <c r="AM39" s="319">
        <v>83.323999999999998</v>
      </c>
      <c r="AN39" s="71">
        <v>0.48730335107316203</v>
      </c>
      <c r="AO39" s="319">
        <v>76.817999999999998</v>
      </c>
      <c r="AP39" s="71">
        <v>0.44925434235920197</v>
      </c>
      <c r="AQ39" s="319">
        <v>9.0299999999999994</v>
      </c>
      <c r="AR39" s="71">
        <v>0.18808333333333299</v>
      </c>
      <c r="AS39" s="322">
        <v>0</v>
      </c>
      <c r="AT39" s="323">
        <v>0</v>
      </c>
      <c r="AU39" s="321"/>
      <c r="AV39" s="321"/>
      <c r="AW39" s="321"/>
      <c r="AX39" s="321"/>
      <c r="AY39" s="321"/>
      <c r="AZ39" s="321"/>
      <c r="BA39" s="321"/>
      <c r="BB39" s="321"/>
    </row>
    <row r="40" spans="1:54">
      <c r="A40" s="315">
        <v>2022</v>
      </c>
      <c r="B40" s="316">
        <v>173.59</v>
      </c>
      <c r="C40" s="317"/>
      <c r="D40" s="318"/>
      <c r="E40" s="317"/>
      <c r="F40" s="318"/>
      <c r="G40" s="317"/>
      <c r="H40" s="318"/>
      <c r="I40" s="317"/>
      <c r="J40" s="318"/>
      <c r="K40" s="317"/>
      <c r="L40" s="318"/>
      <c r="M40" s="317"/>
      <c r="N40" s="318"/>
      <c r="O40" s="317"/>
      <c r="P40" s="318"/>
      <c r="Q40" s="317"/>
      <c r="R40" s="318"/>
      <c r="S40" s="319">
        <f>'Réserves 2022'!AH73</f>
        <v>161.209</v>
      </c>
      <c r="T40" s="71">
        <f>'Réserves 2022'!AI73</f>
        <v>0.9914452644526448</v>
      </c>
      <c r="U40" s="319">
        <f>'Réserves 2022'!AJ73</f>
        <v>152.488</v>
      </c>
      <c r="V40" s="71">
        <f>'Réserves 2022'!AK73</f>
        <v>0.93781057810578128</v>
      </c>
      <c r="W40" s="319">
        <f>'Réserves 2022'!AL73</f>
        <v>127.05800000000001</v>
      </c>
      <c r="X40" s="71">
        <f>'Réserves 2022'!AM73</f>
        <v>0.76911622276029068</v>
      </c>
      <c r="Y40" s="319">
        <f>'Réserves 2022'!AN73</f>
        <v>101.18300000000001</v>
      </c>
      <c r="Z40" s="71">
        <f>'Réserves 2022'!AO73</f>
        <v>0.61248789346246979</v>
      </c>
      <c r="AA40" s="319">
        <f>'Réserves 2022'!AP73</f>
        <v>83.031000000000006</v>
      </c>
      <c r="AB40" s="71">
        <f>'Réserves 2022'!AQ73</f>
        <v>0.50260895883777246</v>
      </c>
      <c r="AC40" s="319">
        <f>'Réserves 2022'!AR73</f>
        <v>63.429000000000002</v>
      </c>
      <c r="AD40" s="71">
        <f>'Réserves 2022'!AS73</f>
        <v>0.38395278450363202</v>
      </c>
      <c r="AE40" s="319">
        <f>'Réserves 2022'!AT73</f>
        <v>53.2</v>
      </c>
      <c r="AF40" s="71">
        <f>'Réserves 2022'!AU73</f>
        <v>0.30646926666282626</v>
      </c>
      <c r="AG40" s="319">
        <f>'Réserves 2022'!AV73</f>
        <v>48.456000000000003</v>
      </c>
      <c r="AH40" s="71">
        <f>'Réserves 2022'!AW73</f>
        <v>0.27914050348522385</v>
      </c>
      <c r="AI40" s="319">
        <f>'Réserves 2022'!AX73</f>
        <v>44.268999999999998</v>
      </c>
      <c r="AJ40" s="71">
        <f>'Réserves 2022'!AY73</f>
        <v>0.25502045048677924</v>
      </c>
      <c r="AK40" s="319">
        <f>'Réserves 2022'!AZ73</f>
        <v>37.631999999999998</v>
      </c>
      <c r="AL40" s="71">
        <f>'Réserves 2022'!BA73</f>
        <v>0.2200830457921516</v>
      </c>
      <c r="AM40" s="319">
        <f>'Réserves 2022'!BB73</f>
        <v>33.715000000000003</v>
      </c>
      <c r="AN40" s="71">
        <f>'Réserves 2022'!BC73</f>
        <v>0.19717527340780167</v>
      </c>
      <c r="AO40" s="319">
        <f>'Réserves 2022'!BD73</f>
        <v>27.998999999999999</v>
      </c>
      <c r="AP40" s="71">
        <f>'Réserves 2022'!BE73</f>
        <v>0.16374641791917657</v>
      </c>
      <c r="AQ40" s="319">
        <f>'Réserves 2022'!BF73</f>
        <v>26.512</v>
      </c>
      <c r="AR40" s="71">
        <f>'Réserves 2022'!BG73</f>
        <v>0.15272769168730921</v>
      </c>
      <c r="AS40" s="319">
        <f>'Réserves 2022'!BH73</f>
        <v>0</v>
      </c>
      <c r="AT40" s="71">
        <f>'Réserves 2022'!BI73</f>
        <v>0</v>
      </c>
      <c r="AU40" s="268"/>
      <c r="AV40" s="268"/>
      <c r="AW40" s="268"/>
      <c r="AX40" s="268"/>
      <c r="AY40" s="268"/>
      <c r="AZ40" s="268"/>
      <c r="BA40" s="268"/>
      <c r="BB40" s="268"/>
    </row>
    <row r="42" spans="1:54">
      <c r="B42" t="s">
        <v>245</v>
      </c>
      <c r="C42" s="10" t="s">
        <v>246</v>
      </c>
      <c r="D42" t="s">
        <v>247</v>
      </c>
      <c r="E42" t="s">
        <v>248</v>
      </c>
      <c r="F42" t="s">
        <v>249</v>
      </c>
      <c r="G42" t="s">
        <v>250</v>
      </c>
      <c r="H42" t="s">
        <v>251</v>
      </c>
    </row>
    <row r="43" spans="1:54">
      <c r="B43" s="291" t="s">
        <v>214</v>
      </c>
      <c r="C43" s="291" t="s">
        <v>215</v>
      </c>
      <c r="D43" s="291" t="s">
        <v>261</v>
      </c>
      <c r="E43" s="291" t="s">
        <v>220</v>
      </c>
      <c r="F43" s="291" t="s">
        <v>221</v>
      </c>
      <c r="G43" s="291" t="s">
        <v>222</v>
      </c>
      <c r="H43" s="291" t="s">
        <v>223</v>
      </c>
      <c r="I43" s="291">
        <v>43831</v>
      </c>
      <c r="J43" s="291">
        <v>43862</v>
      </c>
      <c r="K43" s="291">
        <v>43891</v>
      </c>
      <c r="L43" s="291">
        <v>43922</v>
      </c>
      <c r="M43" s="291">
        <v>43952</v>
      </c>
    </row>
    <row r="44" spans="1:54">
      <c r="A44" s="269">
        <v>2017</v>
      </c>
      <c r="B44" s="293"/>
      <c r="C44" s="293">
        <f t="shared" ref="C44:H44" si="9">IF(HLOOKUP(C$43,$C$34:$AT$41,2,0)="","",HLOOKUP(C$43,$C$34:$AT$41,2,0))</f>
        <v>0.914619883040936</v>
      </c>
      <c r="D44" s="293">
        <f t="shared" si="9"/>
        <v>0.82538011695906399</v>
      </c>
      <c r="E44" s="293">
        <f t="shared" si="9"/>
        <v>0.50818713450292397</v>
      </c>
      <c r="F44" s="293">
        <f t="shared" si="9"/>
        <v>0.38101169590643302</v>
      </c>
      <c r="G44" s="293">
        <f t="shared" si="9"/>
        <v>0.28935087719298203</v>
      </c>
      <c r="H44" s="293">
        <f t="shared" si="9"/>
        <v>0.21540601503759399</v>
      </c>
      <c r="I44" s="293"/>
      <c r="J44" s="293"/>
      <c r="K44" s="293"/>
      <c r="L44" s="293"/>
      <c r="M44" s="293"/>
    </row>
    <row r="45" spans="1:54">
      <c r="A45" s="324">
        <v>2018</v>
      </c>
      <c r="B45" s="293"/>
      <c r="C45" s="293">
        <f t="shared" ref="C45:H45" si="10">IF(HLOOKUP(C$43,$C$34:$AT$41,3,0)="","",HLOOKUP(C$43,$C$34:$AT$41,3,0))</f>
        <v>1</v>
      </c>
      <c r="D45" s="293">
        <f t="shared" si="10"/>
        <v>0.99905732484076504</v>
      </c>
      <c r="E45" s="293">
        <f t="shared" si="10"/>
        <v>0.88341401273885301</v>
      </c>
      <c r="F45" s="293">
        <f t="shared" si="10"/>
        <v>0.73901675159235702</v>
      </c>
      <c r="G45" s="293">
        <f t="shared" si="10"/>
        <v>0.61866242038216601</v>
      </c>
      <c r="H45" s="293" t="str">
        <f t="shared" si="10"/>
        <v/>
      </c>
      <c r="I45" s="293"/>
      <c r="J45" s="293"/>
      <c r="K45" s="293"/>
      <c r="L45" s="293"/>
      <c r="M45" s="293"/>
    </row>
    <row r="46" spans="1:54">
      <c r="A46" s="269">
        <v>2019</v>
      </c>
      <c r="B46" s="293"/>
      <c r="C46" s="293">
        <f t="shared" ref="C46:H46" si="11">IF(HLOOKUP(C$43,$C$34:$AT$41,4,0)="","",HLOOKUP(C$43,$C$34:$AT$41,4,0))</f>
        <v>0.999732484076433</v>
      </c>
      <c r="D46" s="293">
        <f t="shared" si="11"/>
        <v>0.85080382165605095</v>
      </c>
      <c r="E46" s="293">
        <f t="shared" si="11"/>
        <v>0.51543312101910799</v>
      </c>
      <c r="F46" s="293">
        <f t="shared" si="11"/>
        <v>0.27556050955414002</v>
      </c>
      <c r="G46" s="293">
        <f t="shared" si="11"/>
        <v>0.16285987261146501</v>
      </c>
      <c r="H46" s="293" t="str">
        <f t="shared" si="11"/>
        <v/>
      </c>
      <c r="I46" s="293"/>
      <c r="J46" s="293"/>
      <c r="K46" s="293"/>
      <c r="L46" s="293"/>
      <c r="M46" s="293"/>
    </row>
    <row r="47" spans="1:54" s="74" customFormat="1">
      <c r="A47" s="269">
        <v>2020</v>
      </c>
      <c r="B47" s="293"/>
      <c r="C47" s="293">
        <f>IF(HLOOKUP(C$43,$C$34:$AT$41,5,0)="","",HLOOKUP(C$43,$C$34:$AT$41,5,0))</f>
        <v>1.0024148606811101</v>
      </c>
      <c r="D47" s="293">
        <f>IF(HLOOKUP(D$43,$C$34:$AT$41,5,0)="","",HLOOKUP(D$43,$C$34:$AT$41,5,0))</f>
        <v>0.86749226006191904</v>
      </c>
      <c r="E47" s="293">
        <f>IF(HLOOKUP(E$43,$C$34:$AT$41,5,0)="","",HLOOKUP(E$43,$C$34:$AT$41,5,0))</f>
        <v>0.475969040247678</v>
      </c>
      <c r="F47" s="293">
        <f>IF(HLOOKUP(F$43,$C$34:$AT$41,5,0)="","",HLOOKUP(F$43,$C$34:$AT$41,5,0))</f>
        <v>0.281417956656347</v>
      </c>
      <c r="G47" s="293">
        <f>IF(HLOOKUP(G$43,$C$34:$AT$41,5,0)="","",HLOOKUP(G$43,$C$34:$AT$41,5,0))</f>
        <v>0.218346749226006</v>
      </c>
      <c r="H47" s="144"/>
      <c r="I47" s="144"/>
      <c r="J47" s="293"/>
      <c r="K47" s="293"/>
    </row>
    <row r="48" spans="1:54" s="74" customFormat="1">
      <c r="A48" s="269">
        <v>2021</v>
      </c>
      <c r="B48" s="293"/>
      <c r="C48" s="293">
        <v>1</v>
      </c>
      <c r="D48" s="293">
        <v>0.91553668890236495</v>
      </c>
      <c r="E48" s="293">
        <v>0.65201685036643797</v>
      </c>
      <c r="F48" s="293">
        <v>0.52059184747646103</v>
      </c>
      <c r="G48" s="293">
        <v>0.18808333333333299</v>
      </c>
      <c r="H48" s="144"/>
      <c r="I48" s="144"/>
      <c r="J48" s="293"/>
      <c r="K48" s="293"/>
    </row>
    <row r="49" spans="1:11" s="74" customFormat="1">
      <c r="A49" s="269">
        <v>2022</v>
      </c>
      <c r="B49" s="293"/>
      <c r="C49" s="256">
        <f>'Réserves 2022'!AI73</f>
        <v>0.9914452644526448</v>
      </c>
      <c r="D49" s="71">
        <v>0.58171912832929795</v>
      </c>
      <c r="E49" s="256">
        <v>0.27914050348522401</v>
      </c>
      <c r="F49" s="293">
        <v>0.22008304579215199</v>
      </c>
      <c r="G49" s="293">
        <v>0.15272769168730899</v>
      </c>
      <c r="H49" s="144"/>
      <c r="I49" s="144"/>
      <c r="J49" s="293"/>
      <c r="K49" s="293"/>
    </row>
  </sheetData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29"/>
  <sheetViews>
    <sheetView topLeftCell="A97" zoomScale="85" zoomScaleNormal="85" workbookViewId="0">
      <selection activeCell="I120" sqref="I120"/>
    </sheetView>
  </sheetViews>
  <sheetFormatPr baseColWidth="10" defaultColWidth="10.85546875" defaultRowHeight="12.75"/>
  <cols>
    <col min="1" max="1" width="27.7109375" customWidth="1"/>
    <col min="2" max="2" width="24.85546875" style="74" customWidth="1"/>
    <col min="3" max="3" width="23.28515625" customWidth="1"/>
    <col min="4" max="4" width="21.28515625" customWidth="1"/>
    <col min="5" max="5" width="21.42578125" style="325" customWidth="1"/>
    <col min="6" max="6" width="21.28515625" customWidth="1"/>
    <col min="7" max="7" width="4.42578125" customWidth="1"/>
    <col min="8" max="8" width="20.42578125" customWidth="1"/>
    <col min="9" max="9" width="34.42578125" customWidth="1"/>
    <col min="10" max="10" width="6.85546875" customWidth="1"/>
    <col min="11" max="11" width="9.42578125" style="326" customWidth="1"/>
    <col min="12" max="12" width="22.28515625" customWidth="1"/>
    <col min="13" max="13" width="5.42578125" customWidth="1"/>
    <col min="14" max="14" width="57.28515625" customWidth="1"/>
    <col min="15" max="15" width="4.42578125" style="326" customWidth="1"/>
  </cols>
  <sheetData>
    <row r="1" spans="1:8">
      <c r="A1" s="74" t="s">
        <v>262</v>
      </c>
      <c r="C1" s="74"/>
      <c r="D1" s="74"/>
      <c r="E1" s="74"/>
    </row>
    <row r="3" spans="1:8" ht="48.75" customHeight="1">
      <c r="A3" s="327" t="s">
        <v>263</v>
      </c>
      <c r="B3" s="328" t="s">
        <v>264</v>
      </c>
      <c r="C3" s="327" t="s">
        <v>265</v>
      </c>
      <c r="D3" s="328" t="s">
        <v>266</v>
      </c>
      <c r="E3" s="327" t="s">
        <v>267</v>
      </c>
      <c r="F3" s="327" t="s">
        <v>268</v>
      </c>
      <c r="H3" s="329"/>
    </row>
    <row r="4" spans="1:8">
      <c r="A4" s="330" t="s">
        <v>269</v>
      </c>
      <c r="B4" s="331">
        <f>'Réserves 2022'!W14</f>
        <v>0.90466461890135008</v>
      </c>
      <c r="C4" s="332">
        <v>0.961554396742624</v>
      </c>
      <c r="D4" s="331">
        <f>'Réserves 2022'!U14</f>
        <v>0.89156368312022283</v>
      </c>
      <c r="E4" s="332">
        <v>0.93075219658547004</v>
      </c>
      <c r="F4" s="331">
        <f>'Réserves 2022'!S14</f>
        <v>0.81484391742267293</v>
      </c>
      <c r="H4" s="10"/>
    </row>
    <row r="5" spans="1:8">
      <c r="A5" s="333" t="s">
        <v>270</v>
      </c>
      <c r="B5" s="334">
        <f>'Réserves 2022'!W16</f>
        <v>1.0051886792452831</v>
      </c>
      <c r="C5" s="335">
        <v>1.0023584905660401</v>
      </c>
      <c r="D5" s="334">
        <f>'Réserves 2022'!U16</f>
        <v>0.9882075471698113</v>
      </c>
      <c r="E5" s="335">
        <v>1.02169811320755</v>
      </c>
      <c r="F5" s="334">
        <f>'Réserves 2022'!S16</f>
        <v>0.96084905660377362</v>
      </c>
      <c r="H5" s="10"/>
    </row>
    <row r="6" spans="1:8">
      <c r="A6" s="330" t="s">
        <v>271</v>
      </c>
      <c r="B6" s="331">
        <f>'Réserves 2022'!W18</f>
        <v>1.0033316506814742</v>
      </c>
      <c r="C6" s="332">
        <v>1.01302372539122</v>
      </c>
      <c r="D6" s="331">
        <f>'Réserves 2022'!U18</f>
        <v>0.99262998485613341</v>
      </c>
      <c r="E6" s="332">
        <v>1.0176678445229701</v>
      </c>
      <c r="F6" s="331">
        <f>'Réserves 2022'!S18</f>
        <v>1.0075719333669866</v>
      </c>
      <c r="H6" s="10"/>
    </row>
    <row r="7" spans="1:8">
      <c r="A7" s="333" t="s">
        <v>272</v>
      </c>
      <c r="B7" s="334">
        <f>'Réserves 2022'!W31</f>
        <v>0.79753776873910531</v>
      </c>
      <c r="C7" s="335">
        <v>0.89082655432887903</v>
      </c>
      <c r="D7" s="334">
        <f>'Réserves 2022'!U31</f>
        <v>0.75416908773968638</v>
      </c>
      <c r="E7" s="335">
        <v>0.75806943637420099</v>
      </c>
      <c r="F7" s="334">
        <f>'Réserves 2022'!S31</f>
        <v>0.59410952934340511</v>
      </c>
      <c r="H7" s="10"/>
    </row>
    <row r="8" spans="1:8">
      <c r="A8" s="330" t="s">
        <v>273</v>
      </c>
      <c r="B8" s="331">
        <f>'Réserves 2022'!W45</f>
        <v>1</v>
      </c>
      <c r="C8" s="332">
        <v>1</v>
      </c>
      <c r="D8" s="331">
        <f>'Réserves 2022'!U45</f>
        <v>1</v>
      </c>
      <c r="E8" s="332">
        <v>1</v>
      </c>
      <c r="F8" s="331">
        <f>'Réserves 2022'!S45</f>
        <v>0.93780487804878065</v>
      </c>
      <c r="H8" s="10"/>
    </row>
    <row r="9" spans="1:8">
      <c r="A9" s="333" t="s">
        <v>274</v>
      </c>
      <c r="B9" s="334">
        <f>'Réserves 2022'!W43</f>
        <v>0.8924350392283884</v>
      </c>
      <c r="C9" s="335">
        <v>0.93781040811919703</v>
      </c>
      <c r="D9" s="334">
        <f>'Réserves 2022'!U43</f>
        <v>0.85634492190311662</v>
      </c>
      <c r="E9" s="335">
        <v>0.90848628805873399</v>
      </c>
      <c r="F9" s="334">
        <f>'Réserves 2022'!S43</f>
        <v>0.69053480169869719</v>
      </c>
      <c r="H9" s="10"/>
    </row>
    <row r="10" spans="1:8">
      <c r="A10" s="330" t="s">
        <v>275</v>
      </c>
      <c r="B10" s="331">
        <f>'Réserves 2022'!W58</f>
        <v>0.96237034757747075</v>
      </c>
      <c r="C10" s="332">
        <v>0.95178019667423097</v>
      </c>
      <c r="D10" s="331">
        <f>'Réserves 2022'!U58</f>
        <v>0.94983140377193986</v>
      </c>
      <c r="E10" s="332">
        <v>0.93944638896367805</v>
      </c>
      <c r="F10" s="331">
        <f>'Réserves 2022'!S58</f>
        <v>0.8835083400643613</v>
      </c>
      <c r="H10" s="10"/>
    </row>
    <row r="11" spans="1:8">
      <c r="A11" s="330"/>
      <c r="B11" s="331"/>
      <c r="C11" s="332"/>
      <c r="D11" s="331"/>
      <c r="E11" s="332"/>
      <c r="F11" s="331"/>
    </row>
    <row r="12" spans="1:8">
      <c r="A12" s="144" t="s">
        <v>276</v>
      </c>
      <c r="B12" s="336">
        <f>'Réserves 2022'!W60</f>
        <v>0.8849044711089773</v>
      </c>
      <c r="C12" s="337">
        <v>0.93404571881912102</v>
      </c>
      <c r="D12" s="336">
        <f>'Réserves 2022'!U60</f>
        <v>0.85721181187169371</v>
      </c>
      <c r="E12" s="337">
        <v>0.87499406274110103</v>
      </c>
      <c r="F12" s="336">
        <f>'Réserves 2022'!S60</f>
        <v>0.74138327220631117</v>
      </c>
      <c r="H12" s="10"/>
    </row>
    <row r="13" spans="1:8">
      <c r="A13" s="338" t="s">
        <v>277</v>
      </c>
      <c r="B13" s="339"/>
      <c r="C13" s="340"/>
      <c r="D13" s="340"/>
      <c r="E13" s="340"/>
      <c r="F13" s="340"/>
      <c r="H13" s="10"/>
    </row>
    <row r="14" spans="1:8">
      <c r="B14" s="325"/>
      <c r="C14" s="10"/>
      <c r="D14" s="10"/>
      <c r="E14" s="10"/>
      <c r="F14" s="325"/>
      <c r="H14" s="325"/>
    </row>
    <row r="15" spans="1:8">
      <c r="B15" s="325"/>
      <c r="C15" s="10"/>
      <c r="D15" s="10"/>
      <c r="E15" s="10"/>
      <c r="F15" s="325"/>
      <c r="H15" s="325"/>
    </row>
    <row r="16" spans="1:8">
      <c r="A16" s="74" t="s">
        <v>278</v>
      </c>
      <c r="D16" s="74"/>
      <c r="E16"/>
    </row>
    <row r="17" spans="1:13">
      <c r="E17"/>
    </row>
    <row r="18" spans="1:13" ht="48.75" customHeight="1">
      <c r="A18" s="327" t="s">
        <v>263</v>
      </c>
      <c r="B18" s="328" t="s">
        <v>279</v>
      </c>
      <c r="C18" s="327" t="s">
        <v>280</v>
      </c>
      <c r="D18" s="328" t="s">
        <v>281</v>
      </c>
      <c r="E18" s="327" t="s">
        <v>282</v>
      </c>
      <c r="F18" s="327" t="s">
        <v>264</v>
      </c>
      <c r="H18" s="329"/>
    </row>
    <row r="19" spans="1:13">
      <c r="A19" s="330" t="s">
        <v>269</v>
      </c>
      <c r="B19" s="331">
        <f>'Réserves 2022'!AA14</f>
        <v>0.93669547824844612</v>
      </c>
      <c r="C19" s="332">
        <v>0.966254732480891</v>
      </c>
      <c r="D19" s="331">
        <f>'Réserves 2022'!Y14</f>
        <v>0.91642260161440092</v>
      </c>
      <c r="E19" s="332">
        <v>0.96204014572469398</v>
      </c>
      <c r="F19" s="341">
        <f t="shared" ref="F19:F25" si="0">B4*100</f>
        <v>90.466461890135008</v>
      </c>
      <c r="H19" s="342"/>
      <c r="K19" s="343"/>
      <c r="L19" s="344"/>
      <c r="M19" s="343"/>
    </row>
    <row r="20" spans="1:13">
      <c r="A20" s="333" t="s">
        <v>270</v>
      </c>
      <c r="B20" s="334">
        <f>'Réserves 2022'!AA16</f>
        <v>1.0056603773584907</v>
      </c>
      <c r="C20" s="335">
        <v>1</v>
      </c>
      <c r="D20" s="334">
        <f>'Réserves 2022'!Y16</f>
        <v>1.004245283018868</v>
      </c>
      <c r="E20" s="335">
        <v>1.00094339622642</v>
      </c>
      <c r="F20" s="345">
        <f t="shared" si="0"/>
        <v>100.51886792452831</v>
      </c>
      <c r="H20" s="346"/>
      <c r="K20" s="343"/>
      <c r="L20" s="344"/>
      <c r="M20" s="329"/>
    </row>
    <row r="21" spans="1:13">
      <c r="A21" s="330" t="s">
        <v>271</v>
      </c>
      <c r="B21" s="331">
        <f>'Réserves 2022'!AA18</f>
        <v>1.0047450782433116</v>
      </c>
      <c r="C21" s="332">
        <v>0.99949520444220097</v>
      </c>
      <c r="D21" s="331">
        <f>'Réserves 2022'!Y18</f>
        <v>1.0049469964664313</v>
      </c>
      <c r="E21" s="332">
        <v>1.01302372539122</v>
      </c>
      <c r="F21" s="341">
        <f t="shared" si="0"/>
        <v>100.33316506814742</v>
      </c>
      <c r="H21" s="346"/>
      <c r="K21" s="343"/>
      <c r="L21" s="344"/>
      <c r="M21" s="329"/>
    </row>
    <row r="22" spans="1:13">
      <c r="A22" s="333" t="s">
        <v>272</v>
      </c>
      <c r="B22" s="334">
        <f>'Réserves 2022'!AA31</f>
        <v>0.9152019174898316</v>
      </c>
      <c r="C22" s="335">
        <v>0.93650493898896003</v>
      </c>
      <c r="D22" s="334">
        <f>'Réserves 2022'!Y31</f>
        <v>0.85222254503195827</v>
      </c>
      <c r="E22" s="335">
        <v>0.91446106914584602</v>
      </c>
      <c r="F22" s="345">
        <f t="shared" si="0"/>
        <v>79.753776873910525</v>
      </c>
      <c r="H22" s="346"/>
      <c r="L22" s="344"/>
      <c r="M22" s="329"/>
    </row>
    <row r="23" spans="1:13">
      <c r="A23" s="330" t="s">
        <v>273</v>
      </c>
      <c r="B23" s="331">
        <f>'Réserves 2022'!AA45</f>
        <v>1</v>
      </c>
      <c r="C23" s="332">
        <v>1</v>
      </c>
      <c r="D23" s="331">
        <f>'Réserves 2022'!Y45</f>
        <v>1</v>
      </c>
      <c r="E23" s="332">
        <v>1</v>
      </c>
      <c r="F23" s="341">
        <f t="shared" si="0"/>
        <v>100</v>
      </c>
      <c r="H23" s="346"/>
      <c r="K23" s="343"/>
      <c r="L23" s="344"/>
      <c r="M23" s="329"/>
    </row>
    <row r="24" spans="1:13">
      <c r="A24" s="333" t="s">
        <v>274</v>
      </c>
      <c r="B24" s="334">
        <f>'Réserves 2022'!AA43</f>
        <v>0.98645360973151941</v>
      </c>
      <c r="C24" s="335">
        <v>0.87647016483120999</v>
      </c>
      <c r="D24" s="334">
        <f>'Réserves 2022'!Y43</f>
        <v>0.93318937594472029</v>
      </c>
      <c r="E24" s="335">
        <v>0.94091988771323698</v>
      </c>
      <c r="F24" s="345">
        <f t="shared" si="0"/>
        <v>89.24350392283884</v>
      </c>
      <c r="H24" s="346"/>
      <c r="K24" s="343"/>
      <c r="L24" s="344"/>
      <c r="M24" s="329"/>
    </row>
    <row r="25" spans="1:13">
      <c r="A25" s="330" t="s">
        <v>275</v>
      </c>
      <c r="B25" s="331">
        <f>'Réserves 2022'!AA58</f>
        <v>0.97437080913368457</v>
      </c>
      <c r="C25" s="332">
        <v>0.91039398951241701</v>
      </c>
      <c r="D25" s="331">
        <f>'Réserves 2022'!Y58</f>
        <v>0.96101132094824149</v>
      </c>
      <c r="E25" s="332">
        <v>0.93020244368373095</v>
      </c>
      <c r="F25" s="341">
        <f t="shared" si="0"/>
        <v>96.237034757747068</v>
      </c>
      <c r="H25" s="346"/>
      <c r="K25" s="343"/>
      <c r="L25" s="344"/>
      <c r="M25" s="329"/>
    </row>
    <row r="26" spans="1:13">
      <c r="A26" s="330"/>
      <c r="B26" s="331"/>
      <c r="C26" s="332"/>
      <c r="D26" s="331"/>
      <c r="E26" s="332"/>
      <c r="F26" s="341"/>
      <c r="H26" s="343"/>
      <c r="K26" s="343"/>
      <c r="L26" s="344"/>
      <c r="M26" s="329"/>
    </row>
    <row r="27" spans="1:13">
      <c r="A27" s="144" t="s">
        <v>276</v>
      </c>
      <c r="B27" s="336">
        <f>'Réserves 2022'!AA60</f>
        <v>0.95146852482544464</v>
      </c>
      <c r="C27" s="337">
        <v>0.93150906507107401</v>
      </c>
      <c r="D27" s="336">
        <f>'Réserves 2022'!Y60</f>
        <v>0.91331345260912045</v>
      </c>
      <c r="E27" s="337">
        <v>0.93864404560328296</v>
      </c>
      <c r="F27" s="341">
        <f>B12*100</f>
        <v>88.490447110897733</v>
      </c>
      <c r="H27" s="347"/>
      <c r="K27" s="348"/>
      <c r="L27" s="349"/>
      <c r="M27" s="10"/>
    </row>
    <row r="28" spans="1:13">
      <c r="A28" s="338" t="s">
        <v>277</v>
      </c>
      <c r="B28" s="350"/>
      <c r="C28" s="351"/>
      <c r="D28" s="350"/>
      <c r="E28" s="351"/>
      <c r="F28" s="352"/>
      <c r="H28" s="10"/>
    </row>
    <row r="29" spans="1:13">
      <c r="B29" s="325"/>
      <c r="C29" s="347"/>
      <c r="D29" s="10"/>
      <c r="F29" s="325"/>
      <c r="H29" s="325"/>
    </row>
    <row r="30" spans="1:13">
      <c r="B30" s="325"/>
      <c r="C30" s="10"/>
      <c r="D30" s="10"/>
      <c r="F30" s="325"/>
      <c r="H30" s="325"/>
      <c r="I30" s="326"/>
      <c r="J30" s="326"/>
    </row>
    <row r="31" spans="1:13">
      <c r="A31" s="74" t="s">
        <v>213</v>
      </c>
      <c r="C31" s="74"/>
      <c r="D31" s="74"/>
      <c r="E31" s="74"/>
    </row>
    <row r="33" spans="1:8" ht="40.5" customHeight="1">
      <c r="A33" s="327" t="s">
        <v>263</v>
      </c>
      <c r="B33" s="328" t="s">
        <v>283</v>
      </c>
      <c r="C33" s="327" t="s">
        <v>284</v>
      </c>
      <c r="D33" s="327" t="s">
        <v>279</v>
      </c>
      <c r="F33" s="325"/>
      <c r="H33" s="325"/>
    </row>
    <row r="34" spans="1:8">
      <c r="A34" s="330" t="s">
        <v>269</v>
      </c>
      <c r="B34" s="331">
        <f>'Réserves 2022'!AC$14</f>
        <v>0.94586756196871202</v>
      </c>
      <c r="C34" s="332">
        <v>0.97831273662404505</v>
      </c>
      <c r="D34" s="332">
        <f t="shared" ref="D34:D40" si="1">(B19*100)/100</f>
        <v>0.93669547824844612</v>
      </c>
      <c r="F34" s="353"/>
      <c r="H34" s="353"/>
    </row>
    <row r="35" spans="1:8">
      <c r="A35" s="333" t="s">
        <v>270</v>
      </c>
      <c r="B35" s="334">
        <f>'Réserves 2022'!AC$16</f>
        <v>0.98349056603773599</v>
      </c>
      <c r="C35" s="335">
        <v>1.0018867924528301</v>
      </c>
      <c r="D35" s="335">
        <f t="shared" si="1"/>
        <v>1.0056603773584907</v>
      </c>
      <c r="F35" s="353"/>
      <c r="H35" s="353"/>
    </row>
    <row r="36" spans="1:8">
      <c r="A36" s="330" t="s">
        <v>271</v>
      </c>
      <c r="B36" s="331">
        <f>'Réserves 2022'!AC$18</f>
        <v>0.99868753154972234</v>
      </c>
      <c r="C36" s="332">
        <v>1.00030287733468</v>
      </c>
      <c r="D36" s="332">
        <f t="shared" si="1"/>
        <v>1.0047450782433116</v>
      </c>
      <c r="F36" s="353"/>
      <c r="H36" s="353"/>
    </row>
    <row r="37" spans="1:8">
      <c r="A37" s="333" t="s">
        <v>272</v>
      </c>
      <c r="B37" s="334">
        <f>'Réserves 2022'!AC$31</f>
        <v>0.94107350377687415</v>
      </c>
      <c r="C37" s="335">
        <v>0.94671702498547405</v>
      </c>
      <c r="D37" s="335">
        <f t="shared" si="1"/>
        <v>0.91520191748983171</v>
      </c>
      <c r="F37" s="353"/>
      <c r="H37" s="353"/>
    </row>
    <row r="38" spans="1:8">
      <c r="A38" s="330" t="s">
        <v>273</v>
      </c>
      <c r="B38" s="331">
        <f>'Réserves 2022'!AC$45</f>
        <v>0.97317073170731716</v>
      </c>
      <c r="C38" s="332">
        <v>1</v>
      </c>
      <c r="D38" s="332">
        <f t="shared" si="1"/>
        <v>1</v>
      </c>
      <c r="F38" s="353"/>
      <c r="H38" s="353"/>
    </row>
    <row r="39" spans="1:8">
      <c r="A39" s="333" t="s">
        <v>274</v>
      </c>
      <c r="B39" s="334">
        <f>'Réserves 2022'!AC$43</f>
        <v>0.95865543799035491</v>
      </c>
      <c r="C39" s="335">
        <v>0.948477650615418</v>
      </c>
      <c r="D39" s="335">
        <f t="shared" si="1"/>
        <v>0.98645360973151941</v>
      </c>
      <c r="F39" s="353"/>
      <c r="H39" s="353"/>
    </row>
    <row r="40" spans="1:8">
      <c r="A40" s="330" t="s">
        <v>275</v>
      </c>
      <c r="B40" s="331">
        <f>'Réserves 2022'!AC$58</f>
        <v>0.94498506352808431</v>
      </c>
      <c r="C40" s="332">
        <v>0.95876764490942001</v>
      </c>
      <c r="D40" s="332">
        <f t="shared" si="1"/>
        <v>0.97437080913368457</v>
      </c>
      <c r="F40" s="353"/>
      <c r="H40" s="353"/>
    </row>
    <row r="41" spans="1:8">
      <c r="A41" s="330"/>
      <c r="B41" s="331"/>
      <c r="C41" s="332"/>
      <c r="D41" s="332">
        <v>0</v>
      </c>
      <c r="F41" s="326"/>
      <c r="H41" s="326"/>
    </row>
    <row r="42" spans="1:8">
      <c r="A42" s="144" t="s">
        <v>276</v>
      </c>
      <c r="B42" s="336">
        <f>'Réserves 2022'!AC$60</f>
        <v>0.94957116944102482</v>
      </c>
      <c r="C42" s="337">
        <v>0.95992831642444798</v>
      </c>
      <c r="D42" s="337">
        <f>(B27*100)/100</f>
        <v>0.95146852482544464</v>
      </c>
    </row>
    <row r="43" spans="1:8">
      <c r="A43" s="338" t="s">
        <v>277</v>
      </c>
      <c r="B43" s="350">
        <f>'Réserves 2022'!AC$73</f>
        <v>1</v>
      </c>
      <c r="C43" s="351">
        <v>0</v>
      </c>
      <c r="D43" s="351">
        <v>0</v>
      </c>
      <c r="F43" s="325"/>
      <c r="H43" s="325"/>
    </row>
    <row r="44" spans="1:8">
      <c r="B44" s="325"/>
      <c r="C44" s="10"/>
      <c r="D44" s="10"/>
      <c r="F44" s="325"/>
      <c r="H44" s="325"/>
    </row>
    <row r="45" spans="1:8">
      <c r="A45" s="74" t="s">
        <v>214</v>
      </c>
      <c r="E45" s="74"/>
    </row>
    <row r="47" spans="1:8" ht="25.5">
      <c r="A47" s="327" t="s">
        <v>263</v>
      </c>
      <c r="B47" s="328" t="s">
        <v>285</v>
      </c>
      <c r="C47" s="327" t="s">
        <v>286</v>
      </c>
      <c r="D47" s="327" t="s">
        <v>283</v>
      </c>
      <c r="F47" s="325"/>
      <c r="H47" s="325"/>
    </row>
    <row r="48" spans="1:8">
      <c r="A48" s="330" t="s">
        <v>269</v>
      </c>
      <c r="B48" s="331">
        <f>'Réserves 2022'!AI$14</f>
        <v>0.86503321665833266</v>
      </c>
      <c r="C48" s="332">
        <v>0.97218372740910097</v>
      </c>
      <c r="D48" s="332">
        <f t="shared" ref="D48:D54" si="2">(B34*100)/100</f>
        <v>0.94586756196871202</v>
      </c>
    </row>
    <row r="49" spans="1:8">
      <c r="A49" s="333" t="s">
        <v>270</v>
      </c>
      <c r="B49" s="334">
        <f>'Réserves 2022'!AI$16</f>
        <v>0.95235849056603783</v>
      </c>
      <c r="C49" s="335">
        <v>1.0042452830188699</v>
      </c>
      <c r="D49" s="335">
        <f t="shared" si="2"/>
        <v>0.98349056603773599</v>
      </c>
    </row>
    <row r="50" spans="1:8">
      <c r="A50" s="330" t="s">
        <v>271</v>
      </c>
      <c r="B50" s="331">
        <f>'Réserves 2022'!AI$18</f>
        <v>0.99808177688036348</v>
      </c>
      <c r="C50" s="332">
        <v>1.00111055022716</v>
      </c>
      <c r="D50" s="332">
        <f t="shared" si="2"/>
        <v>0.99868753154972234</v>
      </c>
    </row>
    <row r="51" spans="1:8">
      <c r="A51" s="333" t="s">
        <v>272</v>
      </c>
      <c r="B51" s="334">
        <f>'Réserves 2022'!AI$31</f>
        <v>0.86997385241138891</v>
      </c>
      <c r="C51" s="335">
        <v>0.92366356769320201</v>
      </c>
      <c r="D51" s="335">
        <f t="shared" si="2"/>
        <v>0.94107350377687415</v>
      </c>
    </row>
    <row r="52" spans="1:8">
      <c r="A52" s="330" t="s">
        <v>273</v>
      </c>
      <c r="B52" s="331">
        <f>'Réserves 2022'!AI$45</f>
        <v>0.89634146341463417</v>
      </c>
      <c r="C52" s="332">
        <v>0.98536585365853702</v>
      </c>
      <c r="D52" s="332">
        <f t="shared" si="2"/>
        <v>0.97317073170731716</v>
      </c>
    </row>
    <row r="53" spans="1:8">
      <c r="A53" s="333" t="s">
        <v>274</v>
      </c>
      <c r="B53" s="334">
        <f>'Réserves 2022'!AI$43</f>
        <v>0.85093212409126895</v>
      </c>
      <c r="C53" s="335">
        <v>0.97703879651623105</v>
      </c>
      <c r="D53" s="335">
        <f t="shared" si="2"/>
        <v>0.95865543799035491</v>
      </c>
    </row>
    <row r="54" spans="1:8">
      <c r="A54" s="330" t="s">
        <v>275</v>
      </c>
      <c r="B54" s="331">
        <f>'Réserves 2022'!AI$58</f>
        <v>0.89882944215803151</v>
      </c>
      <c r="C54" s="332">
        <v>0.96216521148249301</v>
      </c>
      <c r="D54" s="332">
        <f t="shared" si="2"/>
        <v>0.94498506352808431</v>
      </c>
    </row>
    <row r="55" spans="1:8">
      <c r="A55" s="330"/>
      <c r="B55" s="331"/>
      <c r="C55" s="332"/>
      <c r="D55" s="332">
        <v>0</v>
      </c>
    </row>
    <row r="56" spans="1:8">
      <c r="A56" s="144" t="s">
        <v>276</v>
      </c>
      <c r="B56" s="336">
        <f>'Réserves 2022'!AI$60</f>
        <v>0.87813663782977469</v>
      </c>
      <c r="C56" s="337">
        <v>0.95628251852745705</v>
      </c>
      <c r="D56" s="337">
        <f>(B42*100)/100</f>
        <v>0.94957116944102482</v>
      </c>
    </row>
    <row r="57" spans="1:8">
      <c r="A57" s="338" t="s">
        <v>277</v>
      </c>
      <c r="B57" s="350">
        <f>'Réserves 2022'!AI$73</f>
        <v>0.9914452644526448</v>
      </c>
      <c r="C57" s="351">
        <v>1</v>
      </c>
      <c r="D57" s="351">
        <f>(B43*100)/100</f>
        <v>1</v>
      </c>
    </row>
    <row r="58" spans="1:8">
      <c r="B58" s="325"/>
      <c r="C58" s="10"/>
      <c r="D58" s="10"/>
    </row>
    <row r="59" spans="1:8">
      <c r="A59" s="74" t="s">
        <v>215</v>
      </c>
    </row>
    <row r="61" spans="1:8" ht="25.5">
      <c r="A61" s="327" t="s">
        <v>263</v>
      </c>
      <c r="B61" s="328" t="s">
        <v>287</v>
      </c>
      <c r="C61" s="327" t="s">
        <v>288</v>
      </c>
      <c r="D61" s="327" t="s">
        <v>285</v>
      </c>
      <c r="F61" s="325"/>
      <c r="H61" s="325"/>
    </row>
    <row r="62" spans="1:8">
      <c r="A62" s="330" t="s">
        <v>269</v>
      </c>
      <c r="B62" s="331">
        <f>'Réserves 2022'!AO$14</f>
        <v>0.46293306664761763</v>
      </c>
      <c r="C62" s="332">
        <v>0.787384813200943</v>
      </c>
      <c r="D62" s="332">
        <f t="shared" ref="D62:D68" si="3">(B48*100)/100</f>
        <v>0.86503321665833266</v>
      </c>
      <c r="H62" s="74"/>
    </row>
    <row r="63" spans="1:8">
      <c r="A63" s="333" t="s">
        <v>270</v>
      </c>
      <c r="B63" s="334">
        <f>'Réserves 2022'!AO$16</f>
        <v>0.64056603773584908</v>
      </c>
      <c r="C63" s="335">
        <v>0.99858490566037705</v>
      </c>
      <c r="D63" s="335">
        <f t="shared" si="3"/>
        <v>0.95235849056603783</v>
      </c>
    </row>
    <row r="64" spans="1:8">
      <c r="A64" s="330" t="s">
        <v>271</v>
      </c>
      <c r="B64" s="331">
        <f>'Réserves 2022'!AO$18</f>
        <v>0.89086320040383649</v>
      </c>
      <c r="C64" s="332">
        <v>0.99565875820292804</v>
      </c>
      <c r="D64" s="332">
        <f t="shared" si="3"/>
        <v>0.99808177688036348</v>
      </c>
    </row>
    <row r="65" spans="1:15">
      <c r="A65" s="333" t="s">
        <v>272</v>
      </c>
      <c r="B65" s="334">
        <f>'Réserves 2022'!AO$31</f>
        <v>0.61177902345478685</v>
      </c>
      <c r="C65" s="335">
        <v>0.78166396223631796</v>
      </c>
      <c r="D65" s="335">
        <f t="shared" si="3"/>
        <v>0.86997385241138891</v>
      </c>
    </row>
    <row r="66" spans="1:15">
      <c r="A66" s="330" t="s">
        <v>273</v>
      </c>
      <c r="B66" s="331">
        <f>'Réserves 2022'!AO$45</f>
        <v>0.80609756097560992</v>
      </c>
      <c r="C66" s="332">
        <v>0.96707317073170695</v>
      </c>
      <c r="D66" s="332">
        <f t="shared" si="3"/>
        <v>0.89634146341463417</v>
      </c>
    </row>
    <row r="67" spans="1:15">
      <c r="A67" s="333" t="s">
        <v>274</v>
      </c>
      <c r="B67" s="334">
        <f>'Réserves 2022'!AO$43</f>
        <v>0.51292017562801417</v>
      </c>
      <c r="C67" s="335">
        <v>0.89295328582739497</v>
      </c>
      <c r="D67" s="335">
        <f t="shared" si="3"/>
        <v>0.85093212409126895</v>
      </c>
    </row>
    <row r="68" spans="1:15">
      <c r="A68" s="330" t="s">
        <v>275</v>
      </c>
      <c r="B68" s="331">
        <f>'Réserves 2022'!AO$58</f>
        <v>0.62969088554687991</v>
      </c>
      <c r="C68" s="332">
        <v>0.93011269664217799</v>
      </c>
      <c r="D68" s="332">
        <f t="shared" si="3"/>
        <v>0.89882944215803151</v>
      </c>
    </row>
    <row r="69" spans="1:15">
      <c r="A69" s="330"/>
      <c r="B69" s="331"/>
      <c r="C69" s="332"/>
      <c r="D69" s="332">
        <v>0</v>
      </c>
    </row>
    <row r="70" spans="1:15">
      <c r="A70" s="144" t="s">
        <v>276</v>
      </c>
      <c r="B70" s="336">
        <f>'Réserves 2022'!AO$60</f>
        <v>0.57689360046933236</v>
      </c>
      <c r="C70" s="337">
        <v>0.85107366100526805</v>
      </c>
      <c r="D70" s="337">
        <f>(B56*100)/100</f>
        <v>0.87813663782977469</v>
      </c>
      <c r="F70" s="354"/>
      <c r="H70" s="354">
        <f>'Réserves 2022'!AH60-'Réserves 2022'!AN60</f>
        <v>117.33099999999999</v>
      </c>
      <c r="I70" t="s">
        <v>289</v>
      </c>
      <c r="J70" t="s">
        <v>290</v>
      </c>
      <c r="K70" s="355">
        <f>H70/'Réserves 2022'!$Q$60*100</f>
        <v>30.124303736044233</v>
      </c>
      <c r="L70" t="s">
        <v>291</v>
      </c>
      <c r="M70" s="356"/>
      <c r="O70" s="355"/>
    </row>
    <row r="71" spans="1:15">
      <c r="A71" s="338" t="s">
        <v>277</v>
      </c>
      <c r="B71" s="350">
        <f>'Réserves 2022'!AO$73</f>
        <v>0.61248789346246979</v>
      </c>
      <c r="C71" s="351">
        <v>0.91553668890236495</v>
      </c>
      <c r="D71" s="351">
        <f>(B57*100)/100</f>
        <v>0.9914452644526448</v>
      </c>
      <c r="F71" s="354"/>
      <c r="H71" s="354">
        <f>'Réserves 2022'!AH73-'Réserves 2022'!AN73</f>
        <v>60.025999999999996</v>
      </c>
      <c r="I71" t="s">
        <v>289</v>
      </c>
      <c r="J71" t="s">
        <v>290</v>
      </c>
      <c r="K71" s="355">
        <f>(H71/(33+2.5+5+11+48+42))*100</f>
        <v>42.421201413427561</v>
      </c>
      <c r="L71" t="s">
        <v>291</v>
      </c>
    </row>
    <row r="72" spans="1:15">
      <c r="F72" s="326"/>
      <c r="H72" s="326">
        <f>SUM(H70:H71)</f>
        <v>177.35699999999997</v>
      </c>
    </row>
    <row r="73" spans="1:15">
      <c r="A73" s="74" t="s">
        <v>261</v>
      </c>
    </row>
    <row r="75" spans="1:15" ht="31.9" customHeight="1">
      <c r="A75" s="327" t="s">
        <v>263</v>
      </c>
      <c r="B75" s="328" t="s">
        <v>292</v>
      </c>
      <c r="C75" s="327" t="s">
        <v>293</v>
      </c>
      <c r="D75" s="327" t="s">
        <v>294</v>
      </c>
      <c r="F75" s="325"/>
      <c r="H75" s="325"/>
    </row>
    <row r="76" spans="1:15">
      <c r="A76" s="330" t="s">
        <v>269</v>
      </c>
      <c r="B76" s="331">
        <f>'Réserves 2022'!AU$14</f>
        <v>0.21815843988856345</v>
      </c>
      <c r="C76" s="332">
        <v>0.51429387813415195</v>
      </c>
      <c r="D76" s="332">
        <f t="shared" ref="D76:D82" si="4">(B62*100)/100</f>
        <v>0.46293306664761763</v>
      </c>
      <c r="E76" s="357"/>
      <c r="F76" s="358"/>
      <c r="H76" s="358"/>
    </row>
    <row r="77" spans="1:15">
      <c r="A77" s="333" t="s">
        <v>270</v>
      </c>
      <c r="B77" s="334">
        <f>'Réserves 2022'!AU$16</f>
        <v>0.28066037735849059</v>
      </c>
      <c r="C77" s="335">
        <v>0.92735849056603803</v>
      </c>
      <c r="D77" s="335">
        <f t="shared" si="4"/>
        <v>0.64056603773584908</v>
      </c>
      <c r="E77" s="357"/>
      <c r="F77" s="358"/>
      <c r="H77" s="358"/>
    </row>
    <row r="78" spans="1:15">
      <c r="A78" s="330" t="s">
        <v>271</v>
      </c>
      <c r="B78" s="331">
        <f>'Réserves 2022'!AU$18</f>
        <v>0.50075719333669866</v>
      </c>
      <c r="C78" s="332">
        <v>0.96961130742049495</v>
      </c>
      <c r="D78" s="332">
        <f t="shared" si="4"/>
        <v>0.8908632004038366</v>
      </c>
      <c r="E78" s="357"/>
      <c r="F78" s="358"/>
      <c r="H78" s="358"/>
    </row>
    <row r="79" spans="1:15">
      <c r="A79" s="333" t="s">
        <v>272</v>
      </c>
      <c r="B79" s="334">
        <f>'Réserves 2022'!AU$31</f>
        <v>0.39744334689134231</v>
      </c>
      <c r="C79" s="335">
        <v>0.57520337013364298</v>
      </c>
      <c r="D79" s="335">
        <f t="shared" si="4"/>
        <v>0.61177902345478685</v>
      </c>
      <c r="E79" s="357"/>
      <c r="F79" s="358"/>
      <c r="H79" s="358"/>
    </row>
    <row r="80" spans="1:15">
      <c r="A80" s="330" t="s">
        <v>273</v>
      </c>
      <c r="B80" s="331">
        <f>'Réserves 2022'!AU$45</f>
        <v>0.69024390243902445</v>
      </c>
      <c r="C80" s="332">
        <v>0.88902439024390301</v>
      </c>
      <c r="D80" s="332">
        <f t="shared" si="4"/>
        <v>0.80609756097560992</v>
      </c>
      <c r="E80" s="357"/>
      <c r="F80" s="358"/>
      <c r="H80" s="358"/>
    </row>
    <row r="81" spans="1:15">
      <c r="A81" s="333" t="s">
        <v>274</v>
      </c>
      <c r="B81" s="334">
        <f>'Réserves 2022'!AU$43</f>
        <v>0.31310732023321097</v>
      </c>
      <c r="C81" s="335">
        <v>0.63508241560498102</v>
      </c>
      <c r="D81" s="335">
        <f t="shared" si="4"/>
        <v>0.51292017562801417</v>
      </c>
      <c r="E81" s="357"/>
      <c r="F81" s="358"/>
      <c r="H81" s="358"/>
    </row>
    <row r="82" spans="1:15">
      <c r="A82" s="330" t="s">
        <v>275</v>
      </c>
      <c r="B82" s="331">
        <f>'Réserves 2022'!AU$58</f>
        <v>0.45463287049501899</v>
      </c>
      <c r="C82" s="332">
        <v>0.67616703206533602</v>
      </c>
      <c r="D82" s="332">
        <f t="shared" si="4"/>
        <v>0.62969088554687991</v>
      </c>
      <c r="E82" s="357"/>
      <c r="F82" s="358"/>
      <c r="H82" s="358"/>
    </row>
    <row r="83" spans="1:15">
      <c r="A83" s="330"/>
      <c r="B83" s="331"/>
      <c r="C83" s="332"/>
      <c r="D83" s="332">
        <v>0</v>
      </c>
      <c r="F83" s="358"/>
      <c r="H83" s="358"/>
    </row>
    <row r="84" spans="1:15">
      <c r="A84" s="144" t="s">
        <v>276</v>
      </c>
      <c r="B84" s="336">
        <f>'Réserves 2022'!AU$60</f>
        <v>0.36278256538366255</v>
      </c>
      <c r="C84" s="337">
        <v>0.62594498696370504</v>
      </c>
      <c r="D84" s="337">
        <f>(B70*100)/100</f>
        <v>0.57689360046933236</v>
      </c>
      <c r="F84" s="354"/>
      <c r="H84" s="354">
        <f>'Réserves 2022'!AN60-'Réserves 2022'!AT60</f>
        <v>83.393999999999977</v>
      </c>
      <c r="I84" t="s">
        <v>295</v>
      </c>
      <c r="J84" t="s">
        <v>290</v>
      </c>
      <c r="K84" s="355">
        <f>H84/'Réserves 2022'!$Q$60*100</f>
        <v>21.411103508566978</v>
      </c>
      <c r="L84" t="s">
        <v>291</v>
      </c>
      <c r="M84" s="356"/>
      <c r="O84" s="355"/>
    </row>
    <row r="85" spans="1:15">
      <c r="A85" s="338" t="s">
        <v>277</v>
      </c>
      <c r="B85" s="350">
        <f>'Réserves 2022'!AU$73</f>
        <v>0.30646926666282626</v>
      </c>
      <c r="C85" s="351">
        <v>0.65201685036643797</v>
      </c>
      <c r="D85" s="351">
        <f>(B71*100)/100</f>
        <v>0.61248789346246979</v>
      </c>
      <c r="F85" s="354"/>
      <c r="H85" s="354">
        <f>'Réserves 2022'!AN73-'Réserves 2022'!AT73</f>
        <v>47.983000000000004</v>
      </c>
      <c r="I85" t="s">
        <v>295</v>
      </c>
      <c r="J85" t="s">
        <v>290</v>
      </c>
      <c r="K85" s="355">
        <f>(H85/(33+2.5+5+11+48+42))*100</f>
        <v>33.910247349823322</v>
      </c>
      <c r="L85" t="s">
        <v>291</v>
      </c>
    </row>
    <row r="86" spans="1:15">
      <c r="F86" s="326"/>
      <c r="H86" s="326">
        <f>SUM(H84:H85)</f>
        <v>131.37699999999998</v>
      </c>
    </row>
    <row r="87" spans="1:15">
      <c r="A87" s="74" t="s">
        <v>220</v>
      </c>
    </row>
    <row r="89" spans="1:15" ht="25.5">
      <c r="A89" s="327" t="s">
        <v>263</v>
      </c>
      <c r="B89" s="328" t="s">
        <v>296</v>
      </c>
      <c r="C89" s="327" t="s">
        <v>297</v>
      </c>
      <c r="D89" s="327" t="s">
        <v>292</v>
      </c>
      <c r="F89" s="325"/>
      <c r="H89" s="325"/>
    </row>
    <row r="90" spans="1:15">
      <c r="A90" s="330" t="s">
        <v>269</v>
      </c>
      <c r="B90" s="331">
        <f>'Réserves 2022'!BA$14</f>
        <v>0.1624116008286306</v>
      </c>
      <c r="C90" s="332">
        <v>0.40848632045146099</v>
      </c>
      <c r="D90" s="332">
        <f t="shared" ref="D90:D96" si="5">(B76*100)/100</f>
        <v>0.21815843988856348</v>
      </c>
      <c r="E90" s="357"/>
      <c r="F90" s="358"/>
      <c r="H90" s="358"/>
    </row>
    <row r="91" spans="1:15">
      <c r="A91" s="333" t="s">
        <v>270</v>
      </c>
      <c r="B91" s="334">
        <f>'Réserves 2022'!BA$16</f>
        <v>0.1009433962264151</v>
      </c>
      <c r="C91" s="335">
        <v>0.83584905660377296</v>
      </c>
      <c r="D91" s="335">
        <f t="shared" si="5"/>
        <v>0.28066037735849059</v>
      </c>
      <c r="E91" s="357"/>
      <c r="F91" s="358"/>
      <c r="H91" s="358"/>
    </row>
    <row r="92" spans="1:15">
      <c r="A92" s="330" t="s">
        <v>271</v>
      </c>
      <c r="B92" s="331">
        <f>'Réserves 2022'!BA$18</f>
        <v>0.37758707723372037</v>
      </c>
      <c r="C92" s="332">
        <v>0.89348813730439203</v>
      </c>
      <c r="D92" s="332">
        <f t="shared" si="5"/>
        <v>0.50075719333669866</v>
      </c>
      <c r="E92" s="357"/>
      <c r="F92" s="358"/>
      <c r="H92" s="358"/>
    </row>
    <row r="93" spans="1:15">
      <c r="A93" s="333" t="s">
        <v>272</v>
      </c>
      <c r="B93" s="334">
        <f>'Réserves 2022'!BA$31</f>
        <v>0.31113451481696697</v>
      </c>
      <c r="C93" s="335">
        <v>0.502418651946543</v>
      </c>
      <c r="D93" s="335">
        <f t="shared" si="5"/>
        <v>0.39744334689134236</v>
      </c>
      <c r="E93" s="357"/>
      <c r="F93" s="358"/>
      <c r="H93" s="358"/>
    </row>
    <row r="94" spans="1:15">
      <c r="A94" s="330" t="s">
        <v>273</v>
      </c>
      <c r="B94" s="331">
        <f>'Réserves 2022'!BA$45</f>
        <v>0.66951219512195126</v>
      </c>
      <c r="C94" s="332">
        <v>0.83414634146341504</v>
      </c>
      <c r="D94" s="332">
        <f t="shared" si="5"/>
        <v>0.69024390243902445</v>
      </c>
      <c r="E94" s="357"/>
      <c r="F94" s="358"/>
      <c r="H94" s="358"/>
    </row>
    <row r="95" spans="1:15">
      <c r="A95" s="333" t="s">
        <v>274</v>
      </c>
      <c r="B95" s="334">
        <f>'Réserves 2022'!BA$43</f>
        <v>0.23103721298495644</v>
      </c>
      <c r="C95" s="335">
        <v>0.51054487871590004</v>
      </c>
      <c r="D95" s="335">
        <f t="shared" si="5"/>
        <v>0.31310732023321097</v>
      </c>
      <c r="E95" s="357"/>
      <c r="F95" s="358"/>
      <c r="H95" s="358"/>
    </row>
    <row r="96" spans="1:15">
      <c r="A96" s="330" t="s">
        <v>275</v>
      </c>
      <c r="B96" s="331">
        <f>'Réserves 2022'!BA$58</f>
        <v>0.39433567957741961</v>
      </c>
      <c r="C96" s="332">
        <v>0.70247573624626602</v>
      </c>
      <c r="D96" s="332">
        <f t="shared" si="5"/>
        <v>0.45463287049501899</v>
      </c>
      <c r="E96" s="357"/>
      <c r="F96" s="358"/>
      <c r="H96" s="358"/>
    </row>
    <row r="97" spans="1:13">
      <c r="A97" s="330"/>
      <c r="B97" s="331"/>
      <c r="C97" s="332"/>
      <c r="D97" s="332">
        <v>0</v>
      </c>
      <c r="F97" s="358"/>
      <c r="H97" s="358"/>
    </row>
    <row r="98" spans="1:13">
      <c r="A98" s="144" t="s">
        <v>276</v>
      </c>
      <c r="B98" s="336">
        <f>'Réserves 2022'!BA$60</f>
        <v>0.28368415579880846</v>
      </c>
      <c r="C98" s="337">
        <v>0.55715494255942699</v>
      </c>
      <c r="D98" s="337">
        <f>(B84*100)/100</f>
        <v>0.36278256538366255</v>
      </c>
      <c r="F98" s="354"/>
      <c r="H98" s="354">
        <f>'Réserves 2022'!AT60-'Réserves 2022'!AZ60</f>
        <v>30.808000000000007</v>
      </c>
      <c r="I98" t="s">
        <v>298</v>
      </c>
      <c r="J98" t="s">
        <v>290</v>
      </c>
      <c r="K98" s="355">
        <f>H98/'Réserves 2022'!$Q$60*100</f>
        <v>7.9098409584854048</v>
      </c>
      <c r="L98" t="s">
        <v>291</v>
      </c>
      <c r="M98" s="354"/>
    </row>
    <row r="99" spans="1:13">
      <c r="A99" s="338" t="s">
        <v>277</v>
      </c>
      <c r="B99" s="350">
        <f>'Réserves 2022'!BA$73</f>
        <v>0.2200830457921516</v>
      </c>
      <c r="C99" s="351">
        <v>0.52059184747646103</v>
      </c>
      <c r="D99" s="351">
        <f>(B85*100)/100</f>
        <v>0.30646926666282626</v>
      </c>
      <c r="F99" s="354"/>
      <c r="H99" s="354">
        <f>'Réserves 2022'!AT73-'Réserves 2022'!AZ73</f>
        <v>15.568000000000005</v>
      </c>
      <c r="I99" t="s">
        <v>298</v>
      </c>
      <c r="J99" t="s">
        <v>290</v>
      </c>
      <c r="K99" s="355">
        <f>H99/'Réserves 2022'!$Q$73*100</f>
        <v>8.9682585402384962</v>
      </c>
      <c r="L99" t="s">
        <v>291</v>
      </c>
      <c r="M99" s="354"/>
    </row>
    <row r="100" spans="1:13">
      <c r="F100" s="326"/>
      <c r="H100" s="326">
        <f>SUM(H98:H99)</f>
        <v>46.376000000000012</v>
      </c>
    </row>
    <row r="102" spans="1:13">
      <c r="A102" s="74" t="s">
        <v>221</v>
      </c>
    </row>
    <row r="104" spans="1:13" ht="25.5">
      <c r="A104" s="327" t="s">
        <v>263</v>
      </c>
      <c r="B104" s="328" t="s">
        <v>299</v>
      </c>
      <c r="C104" s="327" t="s">
        <v>300</v>
      </c>
      <c r="D104" s="327" t="s">
        <v>296</v>
      </c>
      <c r="F104" s="325"/>
      <c r="H104" s="325"/>
    </row>
    <row r="105" spans="1:13">
      <c r="A105" s="330" t="s">
        <v>269</v>
      </c>
      <c r="B105" s="331">
        <f>'Réserves 2022'!BG$14</f>
        <v>0.14758197014072433</v>
      </c>
      <c r="C105" s="332">
        <v>0.39765697549825002</v>
      </c>
      <c r="D105" s="332">
        <f t="shared" ref="D105:D111" si="6">(B90*100)/100</f>
        <v>0.1624116008286306</v>
      </c>
      <c r="E105" s="357"/>
      <c r="F105" s="358"/>
      <c r="H105" s="358"/>
    </row>
    <row r="106" spans="1:13">
      <c r="A106" s="333" t="s">
        <v>270</v>
      </c>
      <c r="B106" s="334">
        <f>'Réserves 2022'!BG$16</f>
        <v>0.12264150943396228</v>
      </c>
      <c r="C106" s="335">
        <v>0.80801886792452804</v>
      </c>
      <c r="D106" s="335">
        <f t="shared" si="6"/>
        <v>0.1009433962264151</v>
      </c>
      <c r="E106" s="357"/>
      <c r="F106" s="358"/>
      <c r="H106" s="358"/>
    </row>
    <row r="107" spans="1:13">
      <c r="A107" s="330" t="s">
        <v>271</v>
      </c>
      <c r="B107" s="331">
        <f>'Réserves 2022'!BG$18</f>
        <v>0.37960625946491672</v>
      </c>
      <c r="C107" s="332">
        <v>0.83573952549217601</v>
      </c>
      <c r="D107" s="332">
        <f t="shared" si="6"/>
        <v>0.37758707723372031</v>
      </c>
      <c r="E107" s="357"/>
      <c r="F107" s="358"/>
      <c r="H107" s="358"/>
    </row>
    <row r="108" spans="1:13">
      <c r="A108" s="333" t="s">
        <v>272</v>
      </c>
      <c r="B108" s="334">
        <f>'Réserves 2022'!BG$31</f>
        <v>0.2502687391051715</v>
      </c>
      <c r="C108" s="335">
        <v>0.444116792562464</v>
      </c>
      <c r="D108" s="335">
        <f t="shared" si="6"/>
        <v>0.31113451481696697</v>
      </c>
      <c r="E108" s="357"/>
      <c r="F108" s="358"/>
      <c r="H108" s="358"/>
    </row>
    <row r="109" spans="1:13">
      <c r="A109" s="330" t="s">
        <v>273</v>
      </c>
      <c r="B109" s="331">
        <f>'Réserves 2022'!BG$45</f>
        <v>0.6585365853658538</v>
      </c>
      <c r="C109" s="332">
        <v>0.826829268292683</v>
      </c>
      <c r="D109" s="332">
        <f t="shared" si="6"/>
        <v>0.66951219512195126</v>
      </c>
      <c r="E109" s="357"/>
      <c r="F109" s="358"/>
      <c r="H109" s="358"/>
    </row>
    <row r="110" spans="1:13">
      <c r="A110" s="333" t="s">
        <v>274</v>
      </c>
      <c r="B110" s="334">
        <f>'Réserves 2022'!BG$43</f>
        <v>0.18498524436766714</v>
      </c>
      <c r="C110" s="335">
        <v>0.45136399625710799</v>
      </c>
      <c r="D110" s="335">
        <f t="shared" si="6"/>
        <v>0.23103721298495641</v>
      </c>
      <c r="E110" s="357"/>
      <c r="F110" s="358"/>
      <c r="H110" s="358"/>
    </row>
    <row r="111" spans="1:13">
      <c r="A111" s="330" t="s">
        <v>275</v>
      </c>
      <c r="B111" s="331">
        <f>'Réserves 2022'!BG$58</f>
        <v>0.35070579637678356</v>
      </c>
      <c r="C111" s="332">
        <v>0.58818928933164105</v>
      </c>
      <c r="D111" s="332">
        <f t="shared" si="6"/>
        <v>0.39433567957741966</v>
      </c>
      <c r="E111" s="357"/>
      <c r="F111" s="358"/>
      <c r="H111" s="358"/>
    </row>
    <row r="112" spans="1:13">
      <c r="A112" s="330"/>
      <c r="B112" s="331"/>
      <c r="C112" s="332"/>
      <c r="D112" s="332">
        <v>0</v>
      </c>
      <c r="E112" s="357"/>
      <c r="F112" s="358"/>
      <c r="H112" s="358"/>
    </row>
    <row r="113" spans="1:12">
      <c r="A113" s="144" t="s">
        <v>276</v>
      </c>
      <c r="B113" s="336">
        <f>'Réserves 2022'!BG$60</f>
        <v>0.24357781146860183</v>
      </c>
      <c r="C113" s="337">
        <v>0.49875542216157298</v>
      </c>
      <c r="D113" s="337">
        <f>(B98*100)/100</f>
        <v>0.28368415579880846</v>
      </c>
      <c r="E113" s="357"/>
      <c r="F113" s="354"/>
      <c r="H113" s="354">
        <f>'Réserves 2022'!AZ60-'Réserves 2022'!BF60</f>
        <v>15.621000000000024</v>
      </c>
      <c r="I113" t="s">
        <v>301</v>
      </c>
      <c r="J113" t="s">
        <v>290</v>
      </c>
      <c r="K113" s="355">
        <f>H113/'Réserves 2022'!$Q$60*100</f>
        <v>4.010634433020666</v>
      </c>
      <c r="L113" t="s">
        <v>291</v>
      </c>
    </row>
    <row r="114" spans="1:12">
      <c r="A114" s="338" t="s">
        <v>277</v>
      </c>
      <c r="B114" s="350">
        <f>'Réserves 2022'!BG$73</f>
        <v>0.15272769168730921</v>
      </c>
      <c r="C114" s="351">
        <v>0.18808333333333299</v>
      </c>
      <c r="D114" s="351">
        <f>(B99*100)/100</f>
        <v>0.2200830457921516</v>
      </c>
      <c r="E114" s="357"/>
      <c r="F114" s="354"/>
      <c r="H114" s="354">
        <f>'Réserves 2022'!AZ73-'Réserves 2022'!BF73</f>
        <v>11.119999999999997</v>
      </c>
      <c r="I114" t="s">
        <v>301</v>
      </c>
      <c r="J114" t="s">
        <v>290</v>
      </c>
      <c r="K114" s="355">
        <f>H114/'Réserves 2022'!$Q$73*100</f>
        <v>6.4058989573132097</v>
      </c>
      <c r="L114" t="s">
        <v>291</v>
      </c>
    </row>
    <row r="115" spans="1:12">
      <c r="F115" s="326"/>
      <c r="H115" s="326">
        <f>SUM(H113:H114)</f>
        <v>26.741000000000021</v>
      </c>
    </row>
    <row r="117" spans="1:12">
      <c r="A117" s="74" t="s">
        <v>302</v>
      </c>
    </row>
    <row r="119" spans="1:12" ht="38.25">
      <c r="A119" s="327" t="s">
        <v>263</v>
      </c>
      <c r="B119" s="328" t="s">
        <v>303</v>
      </c>
      <c r="C119" s="327" t="s">
        <v>268</v>
      </c>
      <c r="D119" s="328" t="s">
        <v>304</v>
      </c>
      <c r="E119" s="327" t="s">
        <v>305</v>
      </c>
      <c r="F119" s="327" t="s">
        <v>299</v>
      </c>
      <c r="H119" s="329"/>
    </row>
    <row r="120" spans="1:12">
      <c r="A120" s="330" t="s">
        <v>269</v>
      </c>
      <c r="B120" s="331"/>
      <c r="C120" s="332">
        <f t="shared" ref="C120:C126" si="7">(F4*100)/100</f>
        <v>0.81484391742267293</v>
      </c>
      <c r="D120" s="331">
        <f>'Réserves 2022'!$BI$14</f>
        <v>0.23027359097078365</v>
      </c>
      <c r="E120" s="332">
        <v>0.44998928494892498</v>
      </c>
      <c r="F120" s="332">
        <f t="shared" ref="F120:F126" si="8">(B105*100)/100</f>
        <v>0.14758197014072433</v>
      </c>
      <c r="H120" s="359"/>
    </row>
    <row r="121" spans="1:12">
      <c r="A121" s="333" t="s">
        <v>270</v>
      </c>
      <c r="B121" s="334"/>
      <c r="C121" s="335">
        <f t="shared" si="7"/>
        <v>0.96084905660377362</v>
      </c>
      <c r="D121" s="334">
        <f>'Réserves 2022'!$BI$16</f>
        <v>0.13160377358490566</v>
      </c>
      <c r="E121" s="335">
        <v>0.82688679245283003</v>
      </c>
      <c r="F121" s="335">
        <f t="shared" si="8"/>
        <v>0.12264150943396228</v>
      </c>
      <c r="H121" s="359"/>
    </row>
    <row r="122" spans="1:12">
      <c r="A122" s="330" t="s">
        <v>271</v>
      </c>
      <c r="B122" s="331"/>
      <c r="C122" s="332">
        <f t="shared" si="7"/>
        <v>1.0075719333669866</v>
      </c>
      <c r="D122" s="331">
        <f>'Réserves 2022'!$BI$18</f>
        <v>0.40888440181726404</v>
      </c>
      <c r="E122" s="332">
        <v>0.85835436648157504</v>
      </c>
      <c r="F122" s="332">
        <f t="shared" si="8"/>
        <v>0.37960625946491677</v>
      </c>
      <c r="H122" s="359"/>
    </row>
    <row r="123" spans="1:12">
      <c r="A123" s="333" t="s">
        <v>272</v>
      </c>
      <c r="B123" s="334"/>
      <c r="C123" s="335">
        <f t="shared" si="7"/>
        <v>0.59410952934340511</v>
      </c>
      <c r="D123" s="334">
        <f>'Réserves 2022'!$BI$31</f>
        <v>0.25821470075537478</v>
      </c>
      <c r="E123" s="335">
        <v>0.450377687391052</v>
      </c>
      <c r="F123" s="335">
        <f t="shared" si="8"/>
        <v>0.2502687391051715</v>
      </c>
      <c r="H123" s="359"/>
    </row>
    <row r="124" spans="1:12">
      <c r="A124" s="330" t="s">
        <v>273</v>
      </c>
      <c r="B124" s="331"/>
      <c r="C124" s="332">
        <f t="shared" si="7"/>
        <v>0.93780487804878065</v>
      </c>
      <c r="D124" s="331">
        <f>'Réserves 2022'!$BI$45</f>
        <v>0.67439024390243907</v>
      </c>
      <c r="E124" s="332">
        <v>0.826829268292683</v>
      </c>
      <c r="F124" s="332">
        <f t="shared" si="8"/>
        <v>0.6585365853658538</v>
      </c>
      <c r="H124" s="359"/>
    </row>
    <row r="125" spans="1:12">
      <c r="A125" s="333" t="s">
        <v>274</v>
      </c>
      <c r="B125" s="334"/>
      <c r="C125" s="335">
        <f t="shared" si="7"/>
        <v>0.69053480169869719</v>
      </c>
      <c r="D125" s="334">
        <f>'Réserves 2022'!$BI$43</f>
        <v>0.25204059598358886</v>
      </c>
      <c r="E125" s="335">
        <v>0.43155545958396302</v>
      </c>
      <c r="F125" s="335">
        <f t="shared" si="8"/>
        <v>0.18498524436766714</v>
      </c>
      <c r="H125" s="359"/>
    </row>
    <row r="126" spans="1:12">
      <c r="A126" s="330" t="s">
        <v>275</v>
      </c>
      <c r="B126" s="331"/>
      <c r="C126" s="332">
        <f t="shared" si="7"/>
        <v>0.8835083400643613</v>
      </c>
      <c r="D126" s="331">
        <f>'Réserves 2022'!$BI$58</f>
        <v>0.348507919155637</v>
      </c>
      <c r="E126" s="332">
        <v>0.72677154249522402</v>
      </c>
      <c r="F126" s="332">
        <f t="shared" si="8"/>
        <v>0.35070579637678356</v>
      </c>
      <c r="H126" s="359"/>
    </row>
    <row r="127" spans="1:12">
      <c r="A127" s="330"/>
      <c r="B127" s="331"/>
      <c r="C127" s="332"/>
      <c r="D127" s="331"/>
      <c r="E127" s="332"/>
      <c r="F127" s="332"/>
    </row>
    <row r="128" spans="1:12">
      <c r="A128" s="144" t="s">
        <v>276</v>
      </c>
      <c r="B128" s="336"/>
      <c r="C128" s="337">
        <f>(F12*100)/100</f>
        <v>0.74138327220631117</v>
      </c>
      <c r="D128" s="336">
        <f>'Réserves 2022'!$BI$60</f>
        <v>0.27292391707607017</v>
      </c>
      <c r="E128" s="337">
        <v>0.53590661622457103</v>
      </c>
      <c r="F128" s="337">
        <f>(B113*100)/100</f>
        <v>0.24357781146860183</v>
      </c>
      <c r="H128" s="10"/>
    </row>
    <row r="129" spans="1:8">
      <c r="A129" s="338" t="s">
        <v>277</v>
      </c>
      <c r="B129" s="350"/>
      <c r="C129" s="351"/>
      <c r="D129" s="350"/>
      <c r="E129" s="351"/>
      <c r="F129" s="351">
        <v>0.153</v>
      </c>
      <c r="H129" s="10"/>
    </row>
  </sheetData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3"/>
  <sheetViews>
    <sheetView zoomScaleNormal="100" workbookViewId="0">
      <selection activeCell="I14" sqref="I14"/>
    </sheetView>
  </sheetViews>
  <sheetFormatPr baseColWidth="10" defaultColWidth="10.7109375" defaultRowHeight="12.75"/>
  <cols>
    <col min="1" max="1" width="22.28515625" customWidth="1"/>
    <col min="3" max="3" width="21" customWidth="1"/>
    <col min="4" max="4" width="25.28515625" customWidth="1"/>
  </cols>
  <sheetData>
    <row r="1" spans="1:4">
      <c r="A1" s="360" t="s">
        <v>20</v>
      </c>
      <c r="B1" s="360" t="s">
        <v>21</v>
      </c>
      <c r="C1" s="360" t="s">
        <v>306</v>
      </c>
      <c r="D1" s="360" t="s">
        <v>307</v>
      </c>
    </row>
    <row r="2" spans="1:4">
      <c r="A2" s="361" t="s">
        <v>39</v>
      </c>
      <c r="B2" s="362">
        <v>16</v>
      </c>
      <c r="C2" s="363" t="s">
        <v>308</v>
      </c>
      <c r="D2" s="364" t="s">
        <v>309</v>
      </c>
    </row>
    <row r="3" spans="1:4">
      <c r="A3" s="365" t="s">
        <v>42</v>
      </c>
      <c r="B3" s="366">
        <v>22</v>
      </c>
      <c r="C3" s="367" t="s">
        <v>310</v>
      </c>
      <c r="D3" s="368" t="s">
        <v>311</v>
      </c>
    </row>
    <row r="4" spans="1:4">
      <c r="A4" s="365" t="s">
        <v>44</v>
      </c>
      <c r="B4" s="366">
        <v>19</v>
      </c>
      <c r="C4" s="367" t="s">
        <v>312</v>
      </c>
      <c r="D4" s="368" t="s">
        <v>313</v>
      </c>
    </row>
    <row r="5" spans="1:4">
      <c r="A5" s="365" t="s">
        <v>47</v>
      </c>
      <c r="B5" s="366">
        <v>44</v>
      </c>
      <c r="C5" s="367" t="s">
        <v>314</v>
      </c>
      <c r="D5" s="368" t="s">
        <v>315</v>
      </c>
    </row>
    <row r="6" spans="1:4">
      <c r="A6" s="365" t="s">
        <v>49</v>
      </c>
      <c r="B6" s="366">
        <v>49</v>
      </c>
      <c r="C6" s="367" t="s">
        <v>316</v>
      </c>
      <c r="D6" s="368" t="s">
        <v>317</v>
      </c>
    </row>
    <row r="7" spans="1:4">
      <c r="A7" s="365" t="s">
        <v>51</v>
      </c>
      <c r="B7" s="366">
        <v>48</v>
      </c>
      <c r="C7" s="367" t="s">
        <v>318</v>
      </c>
      <c r="D7" s="368" t="s">
        <v>319</v>
      </c>
    </row>
    <row r="8" spans="1:4">
      <c r="A8" s="365" t="s">
        <v>53</v>
      </c>
      <c r="B8" s="366">
        <v>18</v>
      </c>
      <c r="C8" s="367" t="s">
        <v>320</v>
      </c>
      <c r="D8" s="368" t="s">
        <v>321</v>
      </c>
    </row>
    <row r="9" spans="1:4">
      <c r="A9" s="365" t="s">
        <v>55</v>
      </c>
      <c r="B9" s="366">
        <v>39</v>
      </c>
      <c r="C9" s="367" t="s">
        <v>322</v>
      </c>
      <c r="D9" s="368" t="s">
        <v>323</v>
      </c>
    </row>
    <row r="10" spans="1:4">
      <c r="A10" s="365" t="s">
        <v>56</v>
      </c>
      <c r="B10" s="366">
        <v>17</v>
      </c>
      <c r="C10" s="367" t="s">
        <v>312</v>
      </c>
      <c r="D10" s="368" t="s">
        <v>324</v>
      </c>
    </row>
    <row r="11" spans="1:4">
      <c r="A11" s="365" t="s">
        <v>57</v>
      </c>
      <c r="B11" s="366">
        <v>26</v>
      </c>
      <c r="C11" s="367" t="s">
        <v>325</v>
      </c>
      <c r="D11" s="368" t="s">
        <v>326</v>
      </c>
    </row>
    <row r="12" spans="1:4">
      <c r="A12" s="369" t="s">
        <v>59</v>
      </c>
      <c r="B12" s="366">
        <v>62</v>
      </c>
      <c r="C12" s="367" t="s">
        <v>327</v>
      </c>
      <c r="D12" s="368" t="s">
        <v>328</v>
      </c>
    </row>
    <row r="13" spans="1:4">
      <c r="A13" s="370" t="s">
        <v>61</v>
      </c>
      <c r="B13" s="371">
        <v>21</v>
      </c>
      <c r="C13" s="372" t="s">
        <v>329</v>
      </c>
      <c r="D13" s="373" t="s">
        <v>330</v>
      </c>
    </row>
    <row r="14" spans="1:4">
      <c r="A14" s="374"/>
      <c r="B14" s="375"/>
      <c r="C14" s="376" t="s">
        <v>331</v>
      </c>
      <c r="D14" s="377" t="s">
        <v>332</v>
      </c>
    </row>
    <row r="15" spans="1:4">
      <c r="A15" s="378"/>
      <c r="B15" s="379"/>
      <c r="C15" s="380"/>
      <c r="D15" s="381"/>
    </row>
    <row r="16" spans="1:4" ht="25.5">
      <c r="A16" s="382" t="s">
        <v>65</v>
      </c>
      <c r="B16" s="383">
        <v>1</v>
      </c>
      <c r="C16" s="384" t="s">
        <v>333</v>
      </c>
      <c r="D16" s="385" t="s">
        <v>334</v>
      </c>
    </row>
    <row r="17" spans="1:4">
      <c r="A17" s="386"/>
      <c r="B17" s="387"/>
      <c r="C17" s="380"/>
      <c r="D17" s="381"/>
    </row>
    <row r="18" spans="1:4">
      <c r="A18" s="365" t="s">
        <v>68</v>
      </c>
      <c r="B18" s="366">
        <v>2</v>
      </c>
      <c r="C18" s="384" t="s">
        <v>335</v>
      </c>
      <c r="D18" s="385" t="s">
        <v>336</v>
      </c>
    </row>
    <row r="19" spans="1:4">
      <c r="A19" s="388"/>
      <c r="B19" s="389"/>
      <c r="C19" s="380"/>
      <c r="D19" s="381"/>
    </row>
    <row r="20" spans="1:4">
      <c r="A20" s="365" t="s">
        <v>72</v>
      </c>
      <c r="B20" s="366">
        <v>9</v>
      </c>
      <c r="C20" s="390" t="s">
        <v>337</v>
      </c>
      <c r="D20" s="391" t="s">
        <v>338</v>
      </c>
    </row>
    <row r="21" spans="1:4">
      <c r="A21" s="365" t="s">
        <v>74</v>
      </c>
      <c r="B21" s="366">
        <v>23</v>
      </c>
      <c r="C21" s="367" t="s">
        <v>339</v>
      </c>
      <c r="D21" s="368" t="s">
        <v>340</v>
      </c>
    </row>
    <row r="22" spans="1:4">
      <c r="A22" s="365" t="s">
        <v>76</v>
      </c>
      <c r="B22" s="366">
        <v>13</v>
      </c>
      <c r="C22" s="367" t="s">
        <v>341</v>
      </c>
      <c r="D22" s="368" t="s">
        <v>342</v>
      </c>
    </row>
    <row r="23" spans="1:4">
      <c r="A23" s="365" t="s">
        <v>79</v>
      </c>
      <c r="B23" s="366">
        <v>14</v>
      </c>
      <c r="C23" s="367" t="s">
        <v>308</v>
      </c>
      <c r="D23" s="368" t="s">
        <v>343</v>
      </c>
    </row>
    <row r="24" spans="1:4">
      <c r="A24" s="365" t="s">
        <v>82</v>
      </c>
      <c r="B24" s="366">
        <v>42</v>
      </c>
      <c r="C24" s="367" t="s">
        <v>344</v>
      </c>
      <c r="D24" s="368" t="s">
        <v>345</v>
      </c>
    </row>
    <row r="25" spans="1:4">
      <c r="A25" s="365" t="s">
        <v>85</v>
      </c>
      <c r="B25" s="366">
        <v>30</v>
      </c>
      <c r="C25" s="367" t="s">
        <v>346</v>
      </c>
      <c r="D25" s="368" t="s">
        <v>347</v>
      </c>
    </row>
    <row r="26" spans="1:4">
      <c r="A26" s="365" t="s">
        <v>86</v>
      </c>
      <c r="B26" s="366">
        <v>11</v>
      </c>
      <c r="C26" s="367" t="s">
        <v>348</v>
      </c>
      <c r="D26" s="368" t="s">
        <v>349</v>
      </c>
    </row>
    <row r="27" spans="1:4">
      <c r="A27" s="365" t="s">
        <v>87</v>
      </c>
      <c r="B27" s="366">
        <v>24</v>
      </c>
      <c r="C27" s="367" t="s">
        <v>350</v>
      </c>
      <c r="D27" s="368" t="s">
        <v>351</v>
      </c>
    </row>
    <row r="28" spans="1:4">
      <c r="A28" s="365" t="s">
        <v>88</v>
      </c>
      <c r="B28" s="366">
        <v>12</v>
      </c>
      <c r="C28" s="367" t="s">
        <v>352</v>
      </c>
      <c r="D28" s="368" t="s">
        <v>353</v>
      </c>
    </row>
    <row r="29" spans="1:4">
      <c r="A29" s="365" t="s">
        <v>91</v>
      </c>
      <c r="B29" s="366">
        <v>38</v>
      </c>
      <c r="C29" s="392" t="s">
        <v>354</v>
      </c>
      <c r="D29" s="368" t="s">
        <v>332</v>
      </c>
    </row>
    <row r="30" spans="1:4">
      <c r="A30" s="365" t="s">
        <v>94</v>
      </c>
      <c r="B30" s="366">
        <v>34</v>
      </c>
      <c r="C30" s="367" t="s">
        <v>355</v>
      </c>
      <c r="D30" s="368" t="s">
        <v>356</v>
      </c>
    </row>
    <row r="31" spans="1:4">
      <c r="A31" s="393"/>
      <c r="B31" s="393"/>
      <c r="C31" s="376" t="s">
        <v>357</v>
      </c>
      <c r="D31" s="377" t="s">
        <v>358</v>
      </c>
    </row>
    <row r="32" spans="1:4">
      <c r="A32" s="388"/>
      <c r="B32" s="389"/>
      <c r="C32" s="380"/>
      <c r="D32" s="381"/>
    </row>
    <row r="33" spans="1:4">
      <c r="A33" s="365" t="s">
        <v>97</v>
      </c>
      <c r="B33" s="366">
        <v>28</v>
      </c>
      <c r="C33" s="390" t="s">
        <v>359</v>
      </c>
      <c r="D33" s="391" t="s">
        <v>360</v>
      </c>
    </row>
    <row r="34" spans="1:4">
      <c r="A34" s="365" t="s">
        <v>99</v>
      </c>
      <c r="B34" s="366">
        <v>43</v>
      </c>
      <c r="C34" s="367" t="s">
        <v>361</v>
      </c>
      <c r="D34" s="368" t="s">
        <v>362</v>
      </c>
    </row>
    <row r="35" spans="1:4">
      <c r="A35" s="365" t="s">
        <v>101</v>
      </c>
      <c r="B35" s="366">
        <v>47</v>
      </c>
      <c r="C35" s="367" t="s">
        <v>363</v>
      </c>
      <c r="D35" s="368" t="s">
        <v>364</v>
      </c>
    </row>
    <row r="36" spans="1:4">
      <c r="A36" s="365" t="s">
        <v>103</v>
      </c>
      <c r="B36" s="366">
        <v>27</v>
      </c>
      <c r="C36" s="367" t="s">
        <v>365</v>
      </c>
      <c r="D36" s="368" t="s">
        <v>366</v>
      </c>
    </row>
    <row r="37" spans="1:4" ht="25.5">
      <c r="A37" s="365" t="s">
        <v>105</v>
      </c>
      <c r="B37" s="366">
        <v>32</v>
      </c>
      <c r="C37" s="367" t="s">
        <v>327</v>
      </c>
      <c r="D37" s="368" t="s">
        <v>367</v>
      </c>
    </row>
    <row r="38" spans="1:4">
      <c r="A38" s="365" t="s">
        <v>107</v>
      </c>
      <c r="B38" s="366">
        <v>25</v>
      </c>
      <c r="C38" s="367" t="s">
        <v>368</v>
      </c>
      <c r="D38" s="368" t="s">
        <v>369</v>
      </c>
    </row>
    <row r="39" spans="1:4">
      <c r="A39" s="365" t="s">
        <v>108</v>
      </c>
      <c r="B39" s="366">
        <v>29</v>
      </c>
      <c r="C39" s="367" t="s">
        <v>370</v>
      </c>
      <c r="D39" s="368" t="s">
        <v>371</v>
      </c>
    </row>
    <row r="40" spans="1:4">
      <c r="A40" s="365" t="s">
        <v>110</v>
      </c>
      <c r="B40" s="366">
        <v>15</v>
      </c>
      <c r="C40" s="367" t="s">
        <v>372</v>
      </c>
      <c r="D40" s="368" t="s">
        <v>373</v>
      </c>
    </row>
    <row r="41" spans="1:4">
      <c r="A41" s="365" t="s">
        <v>112</v>
      </c>
      <c r="B41" s="366">
        <v>46</v>
      </c>
      <c r="C41" s="367" t="s">
        <v>374</v>
      </c>
      <c r="D41" s="368" t="s">
        <v>375</v>
      </c>
    </row>
    <row r="42" spans="1:4">
      <c r="A42" s="369" t="s">
        <v>114</v>
      </c>
      <c r="B42" s="366">
        <v>52</v>
      </c>
      <c r="C42" s="367" t="s">
        <v>376</v>
      </c>
      <c r="D42" s="368" t="s">
        <v>377</v>
      </c>
    </row>
    <row r="43" spans="1:4">
      <c r="A43" s="393"/>
      <c r="B43" s="393"/>
      <c r="C43" s="376" t="s">
        <v>378</v>
      </c>
      <c r="D43" s="377" t="s">
        <v>369</v>
      </c>
    </row>
    <row r="44" spans="1:4">
      <c r="A44" s="388"/>
      <c r="B44" s="389"/>
      <c r="C44" s="380"/>
      <c r="D44" s="381"/>
    </row>
    <row r="45" spans="1:4">
      <c r="A45" s="365" t="s">
        <v>119</v>
      </c>
      <c r="B45" s="366">
        <v>3</v>
      </c>
      <c r="C45" s="394" t="s">
        <v>379</v>
      </c>
      <c r="D45" s="385" t="s">
        <v>380</v>
      </c>
    </row>
    <row r="46" spans="1:4">
      <c r="A46" s="388"/>
      <c r="B46" s="389"/>
      <c r="C46" s="380"/>
      <c r="D46" s="381"/>
    </row>
    <row r="47" spans="1:4">
      <c r="A47" s="365" t="s">
        <v>123</v>
      </c>
      <c r="B47" s="366">
        <v>10</v>
      </c>
      <c r="C47" s="367" t="s">
        <v>381</v>
      </c>
      <c r="D47" s="368" t="s">
        <v>338</v>
      </c>
    </row>
    <row r="48" spans="1:4">
      <c r="A48" s="365" t="s">
        <v>127</v>
      </c>
      <c r="B48" s="366">
        <v>8</v>
      </c>
      <c r="C48" s="367" t="s">
        <v>382</v>
      </c>
      <c r="D48" s="368" t="s">
        <v>383</v>
      </c>
    </row>
    <row r="49" spans="1:4">
      <c r="A49" s="365" t="s">
        <v>130</v>
      </c>
      <c r="B49" s="366">
        <v>35</v>
      </c>
      <c r="C49" s="367" t="s">
        <v>384</v>
      </c>
      <c r="D49" s="368" t="s">
        <v>385</v>
      </c>
    </row>
    <row r="50" spans="1:4">
      <c r="A50" s="365" t="s">
        <v>132</v>
      </c>
      <c r="B50" s="366">
        <v>6</v>
      </c>
      <c r="C50" s="367" t="s">
        <v>386</v>
      </c>
      <c r="D50" s="368" t="s">
        <v>387</v>
      </c>
    </row>
    <row r="51" spans="1:4">
      <c r="A51" s="365" t="s">
        <v>134</v>
      </c>
      <c r="B51" s="366">
        <v>7</v>
      </c>
      <c r="C51" s="367" t="s">
        <v>388</v>
      </c>
      <c r="D51" s="368" t="s">
        <v>389</v>
      </c>
    </row>
    <row r="52" spans="1:4">
      <c r="A52" s="365" t="s">
        <v>137</v>
      </c>
      <c r="B52" s="366">
        <v>33</v>
      </c>
      <c r="C52" s="367" t="s">
        <v>339</v>
      </c>
      <c r="D52" s="368" t="s">
        <v>358</v>
      </c>
    </row>
    <row r="53" spans="1:4">
      <c r="A53" s="365" t="s">
        <v>140</v>
      </c>
      <c r="B53" s="366">
        <v>4</v>
      </c>
      <c r="C53" s="367" t="s">
        <v>390</v>
      </c>
      <c r="D53" s="368" t="s">
        <v>391</v>
      </c>
    </row>
    <row r="54" spans="1:4">
      <c r="A54" s="365" t="s">
        <v>142</v>
      </c>
      <c r="B54" s="366">
        <v>5</v>
      </c>
      <c r="C54" s="367" t="s">
        <v>392</v>
      </c>
      <c r="D54" s="368" t="s">
        <v>393</v>
      </c>
    </row>
    <row r="55" spans="1:4">
      <c r="A55" s="369" t="s">
        <v>143</v>
      </c>
      <c r="B55" s="366">
        <v>54</v>
      </c>
      <c r="C55" s="367" t="s">
        <v>394</v>
      </c>
      <c r="D55" s="368" t="s">
        <v>395</v>
      </c>
    </row>
    <row r="56" spans="1:4">
      <c r="A56" s="369" t="s">
        <v>147</v>
      </c>
      <c r="B56" s="366">
        <v>51</v>
      </c>
      <c r="C56" s="367" t="s">
        <v>396</v>
      </c>
      <c r="D56" s="368" t="s">
        <v>397</v>
      </c>
    </row>
    <row r="57" spans="1:4">
      <c r="A57" s="369" t="s">
        <v>149</v>
      </c>
      <c r="B57" s="366">
        <v>53</v>
      </c>
      <c r="C57" s="367" t="s">
        <v>398</v>
      </c>
      <c r="D57" s="368" t="s">
        <v>399</v>
      </c>
    </row>
    <row r="58" spans="1:4">
      <c r="A58" s="393"/>
      <c r="B58" s="393"/>
      <c r="C58" s="376" t="s">
        <v>400</v>
      </c>
      <c r="D58" s="368" t="s">
        <v>401</v>
      </c>
    </row>
    <row r="59" spans="1:4">
      <c r="A59" s="395"/>
      <c r="B59" s="396"/>
      <c r="C59" s="380"/>
      <c r="D59" s="381"/>
    </row>
    <row r="60" spans="1:4">
      <c r="A60" s="397"/>
      <c r="B60" s="398"/>
      <c r="C60" s="399" t="s">
        <v>402</v>
      </c>
      <c r="D60" s="391" t="s">
        <v>403</v>
      </c>
    </row>
    <row r="61" spans="1:4">
      <c r="A61" s="400"/>
      <c r="B61" s="401"/>
      <c r="C61" s="400"/>
      <c r="D61" s="400"/>
    </row>
    <row r="62" spans="1:4">
      <c r="A62" s="402"/>
      <c r="B62" s="403"/>
      <c r="C62" s="402"/>
      <c r="D62" s="402"/>
    </row>
    <row r="63" spans="1:4">
      <c r="A63" s="404" t="s">
        <v>20</v>
      </c>
      <c r="B63" s="404" t="s">
        <v>21</v>
      </c>
      <c r="C63" s="405"/>
      <c r="D63" s="406">
        <v>44866</v>
      </c>
    </row>
    <row r="64" spans="1:4">
      <c r="A64" s="407" t="s">
        <v>171</v>
      </c>
      <c r="B64" s="408">
        <v>50</v>
      </c>
      <c r="C64" s="409" t="s">
        <v>404</v>
      </c>
      <c r="D64" s="410" t="s">
        <v>405</v>
      </c>
    </row>
    <row r="65" spans="1:4">
      <c r="A65" s="411" t="s">
        <v>176</v>
      </c>
      <c r="B65" s="408">
        <v>37</v>
      </c>
      <c r="C65" s="409" t="s">
        <v>406</v>
      </c>
      <c r="D65" s="410" t="s">
        <v>407</v>
      </c>
    </row>
    <row r="66" spans="1:4">
      <c r="A66" s="412" t="s">
        <v>181</v>
      </c>
      <c r="B66" s="413">
        <v>40</v>
      </c>
      <c r="C66" s="409" t="s">
        <v>408</v>
      </c>
      <c r="D66" s="410" t="s">
        <v>409</v>
      </c>
    </row>
    <row r="67" spans="1:4">
      <c r="A67" s="412" t="s">
        <v>185</v>
      </c>
      <c r="B67" s="413">
        <v>60</v>
      </c>
      <c r="C67" s="409" t="s">
        <v>410</v>
      </c>
      <c r="D67" s="410" t="s">
        <v>411</v>
      </c>
    </row>
    <row r="68" spans="1:4">
      <c r="A68" s="414" t="s">
        <v>188</v>
      </c>
      <c r="B68" s="413">
        <v>61</v>
      </c>
      <c r="C68" s="415"/>
      <c r="D68" s="416"/>
    </row>
    <row r="69" spans="1:4" ht="25.5">
      <c r="A69" s="412" t="s">
        <v>193</v>
      </c>
      <c r="B69" s="413">
        <v>36</v>
      </c>
      <c r="C69" s="417" t="s">
        <v>412</v>
      </c>
      <c r="D69" s="410" t="s">
        <v>413</v>
      </c>
    </row>
    <row r="70" spans="1:4">
      <c r="A70" s="412" t="s">
        <v>195</v>
      </c>
      <c r="B70" s="413">
        <v>41</v>
      </c>
      <c r="C70" s="409" t="s">
        <v>414</v>
      </c>
      <c r="D70" s="410" t="s">
        <v>415</v>
      </c>
    </row>
    <row r="71" spans="1:4">
      <c r="A71" s="418" t="s">
        <v>199</v>
      </c>
      <c r="B71" s="419">
        <v>45</v>
      </c>
      <c r="C71" s="415" t="s">
        <v>416</v>
      </c>
      <c r="D71" s="416" t="s">
        <v>417</v>
      </c>
    </row>
    <row r="72" spans="1:4">
      <c r="A72" s="420"/>
      <c r="B72" s="420"/>
      <c r="C72" s="421"/>
      <c r="D72" s="422"/>
    </row>
    <row r="73" spans="1:4">
      <c r="A73" s="423"/>
      <c r="B73" s="424"/>
      <c r="C73" s="425" t="s">
        <v>418</v>
      </c>
      <c r="D73" s="426" t="s">
        <v>419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Lisez-moi</vt:lpstr>
      <vt:lpstr>Réserves 2022</vt:lpstr>
      <vt:lpstr>Graphiques</vt:lpstr>
      <vt:lpstr>Bilan_BSH</vt:lpstr>
      <vt:lpstr>Cartographie</vt:lpstr>
      <vt:lpstr>'Réserves 2022'!Excel_BuiltIn__FilterDatabase</vt:lpstr>
      <vt:lpstr>'Réserves 2022'!Zone_d_impression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BAYLE Audrey</dc:creator>
  <dc:description/>
  <cp:lastModifiedBy>DREAL</cp:lastModifiedBy>
  <cp:revision>1</cp:revision>
  <dcterms:created xsi:type="dcterms:W3CDTF">2022-11-09T16:39:18Z</dcterms:created>
  <dcterms:modified xsi:type="dcterms:W3CDTF">2022-12-05T16:43:59Z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