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EAL\5-Ecologie\DBAG\08_GQ\15_Gestion_crise\00_BAG\01_BSH\04_Carto\Barrages\"/>
    </mc:Choice>
  </mc:AlternateContent>
  <xr:revisionPtr revIDLastSave="0" documentId="13_ncr:1_{F6CEF5F7-9FA6-4EB0-819E-151AC3FAFC1B}" xr6:coauthVersionLast="47" xr6:coauthVersionMax="47" xr10:uidLastSave="{00000000-0000-0000-0000-000000000000}"/>
  <bookViews>
    <workbookView xWindow="-120" yWindow="-120" windowWidth="25440" windowHeight="15390" tabRatio="1000" firstSheet="1" activeTab="1" xr2:uid="{00000000-000D-0000-FFFF-FFFF00000000}"/>
  </bookViews>
  <sheets>
    <sheet name="Lisez-moi" sheetId="1" r:id="rId1"/>
    <sheet name="Réserves 2023" sheetId="2" r:id="rId2"/>
    <sheet name="Graphiques" sheetId="3" r:id="rId3"/>
    <sheet name="Bilan_BSH" sheetId="4" r:id="rId4"/>
    <sheet name="Cartographie" sheetId="5" r:id="rId5"/>
    <sheet name="Réserves 2022" sheetId="6" r:id="rId6"/>
    <sheet name="Correspondance CODE" sheetId="7" r:id="rId7"/>
    <sheet name="suivi_droits_acquis_Entraygues" sheetId="8" r:id="rId8"/>
  </sheets>
  <externalReferences>
    <externalReference r:id="rId9"/>
  </externalReferences>
  <definedNames>
    <definedName name="Excel_BuiltIn__FilterDatabase" localSheetId="5">'Réserves 2022'!$A$1:$BK$14</definedName>
    <definedName name="Excel_BuiltIn__FilterDatabase" localSheetId="1">'Réserves 2023'!$A$1:$BL$14</definedName>
    <definedName name="_xlnm.Print_Area" localSheetId="5">'Réserves 2022'!$A$1:$BJ$73</definedName>
    <definedName name="_xlnm.Print_Area" localSheetId="1">'Réserves 2023'!$A$1:$BK$73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" i="8" l="1"/>
  <c r="N4" i="8"/>
  <c r="M4" i="8"/>
  <c r="L4" i="8"/>
  <c r="K4" i="8"/>
  <c r="J4" i="8"/>
  <c r="I4" i="8"/>
  <c r="H4" i="8"/>
  <c r="G4" i="8"/>
  <c r="F4" i="8"/>
  <c r="E4" i="8"/>
  <c r="D4" i="8"/>
  <c r="C4" i="8"/>
  <c r="B4" i="8"/>
  <c r="BF76" i="6"/>
  <c r="AZ76" i="6"/>
  <c r="AT76" i="6"/>
  <c r="AN76" i="6"/>
  <c r="BH75" i="6"/>
  <c r="BF75" i="6"/>
  <c r="BD75" i="6"/>
  <c r="BB75" i="6"/>
  <c r="AZ75" i="6"/>
  <c r="AX75" i="6"/>
  <c r="AV75" i="6"/>
  <c r="AT75" i="6"/>
  <c r="AR75" i="6"/>
  <c r="AP75" i="6"/>
  <c r="AN75" i="6"/>
  <c r="AL75" i="6"/>
  <c r="AJ75" i="6"/>
  <c r="AH75" i="6"/>
  <c r="BF73" i="6"/>
  <c r="AG73" i="6"/>
  <c r="AE73" i="6"/>
  <c r="P73" i="6"/>
  <c r="O73" i="6"/>
  <c r="N73" i="6"/>
  <c r="M73" i="6"/>
  <c r="L73" i="6"/>
  <c r="K73" i="6"/>
  <c r="J73" i="6"/>
  <c r="I73" i="6"/>
  <c r="H73" i="6"/>
  <c r="G73" i="6"/>
  <c r="F73" i="6"/>
  <c r="E73" i="6"/>
  <c r="BG71" i="6"/>
  <c r="BE71" i="6"/>
  <c r="BC71" i="6"/>
  <c r="BA71" i="6"/>
  <c r="AY71" i="6"/>
  <c r="AW71" i="6"/>
  <c r="AU71" i="6"/>
  <c r="BG70" i="6"/>
  <c r="BE70" i="6"/>
  <c r="BC70" i="6"/>
  <c r="BA70" i="6"/>
  <c r="AY70" i="6"/>
  <c r="AW70" i="6"/>
  <c r="AU70" i="6"/>
  <c r="AS70" i="6"/>
  <c r="AQ70" i="6"/>
  <c r="AO70" i="6"/>
  <c r="AM70" i="6"/>
  <c r="AK70" i="6"/>
  <c r="AI70" i="6"/>
  <c r="BI69" i="6"/>
  <c r="BG69" i="6"/>
  <c r="BE69" i="6"/>
  <c r="BC69" i="6"/>
  <c r="BA69" i="6"/>
  <c r="AY69" i="6"/>
  <c r="AW69" i="6"/>
  <c r="AU69" i="6"/>
  <c r="AS69" i="6"/>
  <c r="AQ69" i="6"/>
  <c r="AO69" i="6"/>
  <c r="AM69" i="6"/>
  <c r="AK69" i="6"/>
  <c r="AI69" i="6"/>
  <c r="AG69" i="6"/>
  <c r="AE69" i="6"/>
  <c r="AC69" i="6"/>
  <c r="AC73" i="6" s="1"/>
  <c r="U69" i="6"/>
  <c r="S69" i="6"/>
  <c r="AY68" i="6"/>
  <c r="AW68" i="6"/>
  <c r="AU68" i="6"/>
  <c r="AS68" i="6"/>
  <c r="AQ68" i="6"/>
  <c r="AO68" i="6"/>
  <c r="AM68" i="6"/>
  <c r="BG67" i="6"/>
  <c r="BE67" i="6"/>
  <c r="BC67" i="6"/>
  <c r="BA67" i="6"/>
  <c r="AY67" i="6"/>
  <c r="AW67" i="6"/>
  <c r="AU67" i="6"/>
  <c r="AS67" i="6"/>
  <c r="AQ67" i="6"/>
  <c r="AO67" i="6"/>
  <c r="AM67" i="6"/>
  <c r="AK67" i="6"/>
  <c r="AI67" i="6"/>
  <c r="BC66" i="6"/>
  <c r="AY66" i="6"/>
  <c r="AK66" i="6"/>
  <c r="AI66" i="6"/>
  <c r="Q66" i="6"/>
  <c r="AO66" i="6" s="1"/>
  <c r="BG65" i="6"/>
  <c r="BE65" i="6"/>
  <c r="BC65" i="6"/>
  <c r="BA65" i="6"/>
  <c r="AY65" i="6"/>
  <c r="AW65" i="6"/>
  <c r="AU65" i="6"/>
  <c r="AS65" i="6"/>
  <c r="AQ65" i="6"/>
  <c r="AO65" i="6"/>
  <c r="AM65" i="6"/>
  <c r="AK65" i="6"/>
  <c r="AI65" i="6"/>
  <c r="BG64" i="6"/>
  <c r="BE64" i="6"/>
  <c r="BC64" i="6"/>
  <c r="BA64" i="6"/>
  <c r="AY64" i="6"/>
  <c r="AW64" i="6"/>
  <c r="AU64" i="6"/>
  <c r="AS64" i="6"/>
  <c r="AQ64" i="6"/>
  <c r="AO64" i="6"/>
  <c r="AM64" i="6"/>
  <c r="AK64" i="6"/>
  <c r="AI64" i="6"/>
  <c r="AZ62" i="6"/>
  <c r="AT62" i="6"/>
  <c r="AN62" i="6"/>
  <c r="AH62" i="6"/>
  <c r="AB62" i="6"/>
  <c r="Z62" i="6"/>
  <c r="BB61" i="6"/>
  <c r="AZ61" i="6"/>
  <c r="AX61" i="6"/>
  <c r="AV61" i="6"/>
  <c r="AT61" i="6"/>
  <c r="AR61" i="6"/>
  <c r="AP61" i="6"/>
  <c r="AN61" i="6"/>
  <c r="AL61" i="6"/>
  <c r="AJ61" i="6"/>
  <c r="AH61" i="6"/>
  <c r="AF61" i="6"/>
  <c r="AD61" i="6"/>
  <c r="AB61" i="6"/>
  <c r="Z61" i="6"/>
  <c r="V61" i="6"/>
  <c r="BF60" i="6"/>
  <c r="AE60" i="6"/>
  <c r="Q60" i="6"/>
  <c r="F60" i="6"/>
  <c r="BH58" i="6"/>
  <c r="BF58" i="6"/>
  <c r="BD58" i="6"/>
  <c r="BD60" i="6" s="1"/>
  <c r="BA58" i="6"/>
  <c r="AY58" i="6"/>
  <c r="AN82" i="4" s="1"/>
  <c r="AQ58" i="6"/>
  <c r="AO58" i="6"/>
  <c r="AG58" i="6"/>
  <c r="AC58" i="6"/>
  <c r="C40" i="4" s="1"/>
  <c r="U58" i="6"/>
  <c r="S58" i="6"/>
  <c r="Q58" i="6"/>
  <c r="AS58" i="6" s="1"/>
  <c r="O58" i="6"/>
  <c r="N58" i="6"/>
  <c r="N60" i="6" s="1"/>
  <c r="M58" i="6"/>
  <c r="L58" i="6"/>
  <c r="K58" i="6"/>
  <c r="J58" i="6"/>
  <c r="J60" i="6" s="1"/>
  <c r="I58" i="6"/>
  <c r="H58" i="6"/>
  <c r="G58" i="6"/>
  <c r="F58" i="6"/>
  <c r="E58" i="6"/>
  <c r="BI57" i="6"/>
  <c r="BG57" i="6"/>
  <c r="BE57" i="6"/>
  <c r="BC57" i="6"/>
  <c r="BA57" i="6"/>
  <c r="AY57" i="6"/>
  <c r="AW57" i="6"/>
  <c r="AU57" i="6"/>
  <c r="AS57" i="6"/>
  <c r="AQ57" i="6"/>
  <c r="AO57" i="6"/>
  <c r="AM57" i="6"/>
  <c r="AK57" i="6"/>
  <c r="AI57" i="6"/>
  <c r="AG57" i="6"/>
  <c r="AE57" i="6"/>
  <c r="AC57" i="6"/>
  <c r="AA57" i="6"/>
  <c r="Y57" i="6"/>
  <c r="W57" i="6"/>
  <c r="U57" i="6"/>
  <c r="S57" i="6"/>
  <c r="BI56" i="6"/>
  <c r="BG56" i="6"/>
  <c r="BE56" i="6"/>
  <c r="BC56" i="6"/>
  <c r="BA56" i="6"/>
  <c r="AY56" i="6"/>
  <c r="AW56" i="6"/>
  <c r="AU56" i="6"/>
  <c r="AS56" i="6"/>
  <c r="AQ56" i="6"/>
  <c r="AO56" i="6"/>
  <c r="AM56" i="6"/>
  <c r="AK56" i="6"/>
  <c r="AI56" i="6"/>
  <c r="AG56" i="6"/>
  <c r="AE56" i="6"/>
  <c r="AC56" i="6"/>
  <c r="AA56" i="6"/>
  <c r="Y56" i="6"/>
  <c r="W56" i="6"/>
  <c r="U56" i="6"/>
  <c r="S56" i="6"/>
  <c r="BI55" i="6"/>
  <c r="BG55" i="6"/>
  <c r="BE55" i="6"/>
  <c r="BC55" i="6"/>
  <c r="BA55" i="6"/>
  <c r="AY55" i="6"/>
  <c r="AW55" i="6"/>
  <c r="AU55" i="6"/>
  <c r="AS55" i="6"/>
  <c r="AQ55" i="6"/>
  <c r="AO55" i="6"/>
  <c r="AM55" i="6"/>
  <c r="AK55" i="6"/>
  <c r="AI55" i="6"/>
  <c r="AG55" i="6"/>
  <c r="AE55" i="6"/>
  <c r="AC55" i="6"/>
  <c r="AA55" i="6"/>
  <c r="Y55" i="6"/>
  <c r="W55" i="6"/>
  <c r="U55" i="6"/>
  <c r="S55" i="6"/>
  <c r="BI54" i="6"/>
  <c r="BG54" i="6"/>
  <c r="BE54" i="6"/>
  <c r="BC54" i="6"/>
  <c r="BA54" i="6"/>
  <c r="AY54" i="6"/>
  <c r="AW54" i="6"/>
  <c r="AU54" i="6"/>
  <c r="AS54" i="6"/>
  <c r="AQ54" i="6"/>
  <c r="AO54" i="6"/>
  <c r="AM54" i="6"/>
  <c r="AK54" i="6"/>
  <c r="AI54" i="6"/>
  <c r="AG54" i="6"/>
  <c r="AE54" i="6"/>
  <c r="AC54" i="6"/>
  <c r="AA54" i="6"/>
  <c r="Y54" i="6"/>
  <c r="W54" i="6"/>
  <c r="U54" i="6"/>
  <c r="S54" i="6"/>
  <c r="BI53" i="6"/>
  <c r="BG53" i="6"/>
  <c r="BE53" i="6"/>
  <c r="BC53" i="6"/>
  <c r="BA53" i="6"/>
  <c r="AY53" i="6"/>
  <c r="AW53" i="6"/>
  <c r="AU53" i="6"/>
  <c r="AS53" i="6"/>
  <c r="AQ53" i="6"/>
  <c r="AO53" i="6"/>
  <c r="AM53" i="6"/>
  <c r="AK53" i="6"/>
  <c r="AI53" i="6"/>
  <c r="AG53" i="6"/>
  <c r="AE53" i="6"/>
  <c r="AC53" i="6"/>
  <c r="AA53" i="6"/>
  <c r="Y53" i="6"/>
  <c r="W53" i="6"/>
  <c r="U53" i="6"/>
  <c r="S53" i="6"/>
  <c r="BI52" i="6"/>
  <c r="BG52" i="6"/>
  <c r="BE52" i="6"/>
  <c r="BC52" i="6"/>
  <c r="BA52" i="6"/>
  <c r="AY52" i="6"/>
  <c r="AW52" i="6"/>
  <c r="AU52" i="6"/>
  <c r="AS52" i="6"/>
  <c r="AQ52" i="6"/>
  <c r="AO52" i="6"/>
  <c r="AM52" i="6"/>
  <c r="AK52" i="6"/>
  <c r="AI52" i="6"/>
  <c r="AG52" i="6"/>
  <c r="AE52" i="6"/>
  <c r="AC52" i="6"/>
  <c r="AA52" i="6"/>
  <c r="Y52" i="6"/>
  <c r="W52" i="6"/>
  <c r="U52" i="6"/>
  <c r="S52" i="6"/>
  <c r="BI51" i="6"/>
  <c r="BG51" i="6"/>
  <c r="BE51" i="6"/>
  <c r="BC51" i="6"/>
  <c r="BA51" i="6"/>
  <c r="AY51" i="6"/>
  <c r="AW51" i="6"/>
  <c r="AU51" i="6"/>
  <c r="AS51" i="6"/>
  <c r="AQ51" i="6"/>
  <c r="AO51" i="6"/>
  <c r="AM51" i="6"/>
  <c r="AK51" i="6"/>
  <c r="AI51" i="6"/>
  <c r="AG51" i="6"/>
  <c r="AE51" i="6"/>
  <c r="AC51" i="6"/>
  <c r="AA51" i="6"/>
  <c r="Y51" i="6"/>
  <c r="W51" i="6"/>
  <c r="U51" i="6"/>
  <c r="S51" i="6"/>
  <c r="BI50" i="6"/>
  <c r="BG50" i="6"/>
  <c r="BE50" i="6"/>
  <c r="BC50" i="6"/>
  <c r="BA50" i="6"/>
  <c r="AY50" i="6"/>
  <c r="AW50" i="6"/>
  <c r="AU50" i="6"/>
  <c r="AS50" i="6"/>
  <c r="AQ50" i="6"/>
  <c r="AO50" i="6"/>
  <c r="AM50" i="6"/>
  <c r="AK50" i="6"/>
  <c r="AI50" i="6"/>
  <c r="AG50" i="6"/>
  <c r="AE50" i="6"/>
  <c r="AC50" i="6"/>
  <c r="AA50" i="6"/>
  <c r="Y50" i="6"/>
  <c r="W50" i="6"/>
  <c r="U50" i="6"/>
  <c r="S50" i="6"/>
  <c r="BI49" i="6"/>
  <c r="BG49" i="6"/>
  <c r="BE49" i="6"/>
  <c r="BC49" i="6"/>
  <c r="BA49" i="6"/>
  <c r="AY49" i="6"/>
  <c r="AW49" i="6"/>
  <c r="AU49" i="6"/>
  <c r="AS49" i="6"/>
  <c r="AQ49" i="6"/>
  <c r="AO49" i="6"/>
  <c r="AM49" i="6"/>
  <c r="AK49" i="6"/>
  <c r="AI49" i="6"/>
  <c r="AG49" i="6"/>
  <c r="AE49" i="6"/>
  <c r="AC49" i="6"/>
  <c r="AA49" i="6"/>
  <c r="Y49" i="6"/>
  <c r="W49" i="6"/>
  <c r="U49" i="6"/>
  <c r="S49" i="6"/>
  <c r="BI48" i="6"/>
  <c r="BG48" i="6"/>
  <c r="BE48" i="6"/>
  <c r="BC48" i="6"/>
  <c r="BA48" i="6"/>
  <c r="AY48" i="6"/>
  <c r="AW48" i="6"/>
  <c r="AU48" i="6"/>
  <c r="AS48" i="6"/>
  <c r="AQ48" i="6"/>
  <c r="AO48" i="6"/>
  <c r="AM48" i="6"/>
  <c r="AK48" i="6"/>
  <c r="AI48" i="6"/>
  <c r="AG48" i="6"/>
  <c r="AE48" i="6"/>
  <c r="AC48" i="6"/>
  <c r="AA48" i="6"/>
  <c r="Y48" i="6"/>
  <c r="W48" i="6"/>
  <c r="U48" i="6"/>
  <c r="S48" i="6"/>
  <c r="BI47" i="6"/>
  <c r="BG47" i="6"/>
  <c r="BE47" i="6"/>
  <c r="BC47" i="6"/>
  <c r="BA47" i="6"/>
  <c r="AY47" i="6"/>
  <c r="AW47" i="6"/>
  <c r="AU47" i="6"/>
  <c r="AS47" i="6"/>
  <c r="AQ47" i="6"/>
  <c r="AO47" i="6"/>
  <c r="AM47" i="6"/>
  <c r="AK47" i="6"/>
  <c r="AI47" i="6"/>
  <c r="AG47" i="6"/>
  <c r="AE47" i="6"/>
  <c r="AC47" i="6"/>
  <c r="AA47" i="6"/>
  <c r="Y47" i="6"/>
  <c r="W47" i="6"/>
  <c r="U47" i="6"/>
  <c r="S47" i="6"/>
  <c r="BI45" i="6"/>
  <c r="BG45" i="6"/>
  <c r="BE45" i="6"/>
  <c r="BC45" i="6"/>
  <c r="BA45" i="6"/>
  <c r="C94" i="4" s="1"/>
  <c r="AY45" i="6"/>
  <c r="AW45" i="6"/>
  <c r="AU45" i="6"/>
  <c r="AS45" i="6"/>
  <c r="AQ45" i="6"/>
  <c r="AO45" i="6"/>
  <c r="AM45" i="6"/>
  <c r="AK45" i="6"/>
  <c r="AI45" i="6"/>
  <c r="AG45" i="6"/>
  <c r="AE45" i="6"/>
  <c r="AC45" i="6"/>
  <c r="AA45" i="6"/>
  <c r="Y45" i="6"/>
  <c r="W45" i="6"/>
  <c r="U45" i="6"/>
  <c r="S45" i="6"/>
  <c r="BH43" i="6"/>
  <c r="BG43" i="6"/>
  <c r="BF43" i="6"/>
  <c r="U110" i="4" s="1"/>
  <c r="AW43" i="6"/>
  <c r="AO43" i="6"/>
  <c r="C67" i="4" s="1"/>
  <c r="AA43" i="6"/>
  <c r="C24" i="4" s="1"/>
  <c r="S43" i="6"/>
  <c r="Q43" i="6"/>
  <c r="AY43" i="6" s="1"/>
  <c r="AN81" i="4" s="1"/>
  <c r="O43" i="6"/>
  <c r="N43" i="6"/>
  <c r="M43" i="6"/>
  <c r="L43" i="6"/>
  <c r="K43" i="6"/>
  <c r="J43" i="6"/>
  <c r="I43" i="6"/>
  <c r="H43" i="6"/>
  <c r="G43" i="6"/>
  <c r="F43" i="6"/>
  <c r="E43" i="6"/>
  <c r="BI42" i="6"/>
  <c r="BG42" i="6"/>
  <c r="BE42" i="6"/>
  <c r="BC42" i="6"/>
  <c r="BA42" i="6"/>
  <c r="AY42" i="6"/>
  <c r="AW42" i="6"/>
  <c r="AU42" i="6"/>
  <c r="AS42" i="6"/>
  <c r="AQ42" i="6"/>
  <c r="AO42" i="6"/>
  <c r="AM42" i="6"/>
  <c r="AK42" i="6"/>
  <c r="AI42" i="6"/>
  <c r="AG42" i="6"/>
  <c r="AE42" i="6"/>
  <c r="AC42" i="6"/>
  <c r="AA42" i="6"/>
  <c r="Y42" i="6"/>
  <c r="W42" i="6"/>
  <c r="U42" i="6"/>
  <c r="S42" i="6"/>
  <c r="BI41" i="6"/>
  <c r="BG41" i="6"/>
  <c r="BE41" i="6"/>
  <c r="BC41" i="6"/>
  <c r="BA41" i="6"/>
  <c r="AY41" i="6"/>
  <c r="AW41" i="6"/>
  <c r="AU41" i="6"/>
  <c r="AS41" i="6"/>
  <c r="AQ41" i="6"/>
  <c r="AO41" i="6"/>
  <c r="AM41" i="6"/>
  <c r="AK41" i="6"/>
  <c r="AI41" i="6"/>
  <c r="AG41" i="6"/>
  <c r="AE41" i="6"/>
  <c r="AC41" i="6"/>
  <c r="AA41" i="6"/>
  <c r="Y41" i="6"/>
  <c r="W41" i="6"/>
  <c r="U41" i="6"/>
  <c r="S41" i="6"/>
  <c r="BI40" i="6"/>
  <c r="BG40" i="6"/>
  <c r="BE40" i="6"/>
  <c r="BC40" i="6"/>
  <c r="BA40" i="6"/>
  <c r="AY40" i="6"/>
  <c r="AW40" i="6"/>
  <c r="AU40" i="6"/>
  <c r="AS40" i="6"/>
  <c r="AQ40" i="6"/>
  <c r="AO40" i="6"/>
  <c r="AM40" i="6"/>
  <c r="AK40" i="6"/>
  <c r="AI40" i="6"/>
  <c r="AG40" i="6"/>
  <c r="AE40" i="6"/>
  <c r="AC40" i="6"/>
  <c r="AA40" i="6"/>
  <c r="Y40" i="6"/>
  <c r="W40" i="6"/>
  <c r="U40" i="6"/>
  <c r="S40" i="6"/>
  <c r="BI39" i="6"/>
  <c r="BG39" i="6"/>
  <c r="BE39" i="6"/>
  <c r="BC39" i="6"/>
  <c r="BA39" i="6"/>
  <c r="AY39" i="6"/>
  <c r="AW39" i="6"/>
  <c r="AU39" i="6"/>
  <c r="AS39" i="6"/>
  <c r="AQ39" i="6"/>
  <c r="AO39" i="6"/>
  <c r="AM39" i="6"/>
  <c r="AK39" i="6"/>
  <c r="AI39" i="6"/>
  <c r="AG39" i="6"/>
  <c r="AE39" i="6"/>
  <c r="AC39" i="6"/>
  <c r="AA39" i="6"/>
  <c r="Y39" i="6"/>
  <c r="W39" i="6"/>
  <c r="U39" i="6"/>
  <c r="S39" i="6"/>
  <c r="BI38" i="6"/>
  <c r="BG38" i="6"/>
  <c r="BE38" i="6"/>
  <c r="BC38" i="6"/>
  <c r="BA38" i="6"/>
  <c r="AY38" i="6"/>
  <c r="AW38" i="6"/>
  <c r="AU38" i="6"/>
  <c r="AS38" i="6"/>
  <c r="AQ38" i="6"/>
  <c r="AO38" i="6"/>
  <c r="AM38" i="6"/>
  <c r="AK38" i="6"/>
  <c r="AI38" i="6"/>
  <c r="AG38" i="6"/>
  <c r="AE38" i="6"/>
  <c r="AC38" i="6"/>
  <c r="AA38" i="6"/>
  <c r="Y38" i="6"/>
  <c r="W38" i="6"/>
  <c r="U38" i="6"/>
  <c r="S38" i="6"/>
  <c r="BI37" i="6"/>
  <c r="BG37" i="6"/>
  <c r="BE37" i="6"/>
  <c r="BC37" i="6"/>
  <c r="BA37" i="6"/>
  <c r="AY37" i="6"/>
  <c r="AW37" i="6"/>
  <c r="AU37" i="6"/>
  <c r="AS37" i="6"/>
  <c r="AQ37" i="6"/>
  <c r="AO37" i="6"/>
  <c r="AM37" i="6"/>
  <c r="AK37" i="6"/>
  <c r="AI37" i="6"/>
  <c r="AG37" i="6"/>
  <c r="AE37" i="6"/>
  <c r="AC37" i="6"/>
  <c r="AA37" i="6"/>
  <c r="Y37" i="6"/>
  <c r="W37" i="6"/>
  <c r="U37" i="6"/>
  <c r="S37" i="6"/>
  <c r="BI36" i="6"/>
  <c r="BG36" i="6"/>
  <c r="BE36" i="6"/>
  <c r="BC36" i="6"/>
  <c r="BA36" i="6"/>
  <c r="AY36" i="6"/>
  <c r="AW36" i="6"/>
  <c r="AU36" i="6"/>
  <c r="AS36" i="6"/>
  <c r="AQ36" i="6"/>
  <c r="AO36" i="6"/>
  <c r="AM36" i="6"/>
  <c r="AK36" i="6"/>
  <c r="AI36" i="6"/>
  <c r="AG36" i="6"/>
  <c r="AE36" i="6"/>
  <c r="AC36" i="6"/>
  <c r="AA36" i="6"/>
  <c r="Y36" i="6"/>
  <c r="W36" i="6"/>
  <c r="U36" i="6"/>
  <c r="S36" i="6"/>
  <c r="BI35" i="6"/>
  <c r="BG35" i="6"/>
  <c r="BE35" i="6"/>
  <c r="BC35" i="6"/>
  <c r="BA35" i="6"/>
  <c r="AY35" i="6"/>
  <c r="AW35" i="6"/>
  <c r="AU35" i="6"/>
  <c r="AS35" i="6"/>
  <c r="AQ35" i="6"/>
  <c r="AO35" i="6"/>
  <c r="AM35" i="6"/>
  <c r="AK35" i="6"/>
  <c r="AI35" i="6"/>
  <c r="AG35" i="6"/>
  <c r="AE35" i="6"/>
  <c r="AC35" i="6"/>
  <c r="AA35" i="6"/>
  <c r="Y35" i="6"/>
  <c r="W35" i="6"/>
  <c r="U35" i="6"/>
  <c r="S35" i="6"/>
  <c r="BI34" i="6"/>
  <c r="BG34" i="6"/>
  <c r="BE34" i="6"/>
  <c r="BC34" i="6"/>
  <c r="BA34" i="6"/>
  <c r="AY34" i="6"/>
  <c r="AW34" i="6"/>
  <c r="AU34" i="6"/>
  <c r="AS34" i="6"/>
  <c r="AQ34" i="6"/>
  <c r="AO34" i="6"/>
  <c r="AM34" i="6"/>
  <c r="AK34" i="6"/>
  <c r="AI34" i="6"/>
  <c r="AG34" i="6"/>
  <c r="AE34" i="6"/>
  <c r="AC34" i="6"/>
  <c r="AA34" i="6"/>
  <c r="Y34" i="6"/>
  <c r="W34" i="6"/>
  <c r="U34" i="6"/>
  <c r="S34" i="6"/>
  <c r="BI33" i="6"/>
  <c r="BG33" i="6"/>
  <c r="BE33" i="6"/>
  <c r="BC33" i="6"/>
  <c r="BA33" i="6"/>
  <c r="AY33" i="6"/>
  <c r="AW33" i="6"/>
  <c r="AU33" i="6"/>
  <c r="AS33" i="6"/>
  <c r="AQ33" i="6"/>
  <c r="AO33" i="6"/>
  <c r="AM33" i="6"/>
  <c r="AK33" i="6"/>
  <c r="AI33" i="6"/>
  <c r="AG33" i="6"/>
  <c r="AE33" i="6"/>
  <c r="AC33" i="6"/>
  <c r="AA33" i="6"/>
  <c r="Y33" i="6"/>
  <c r="W33" i="6"/>
  <c r="U33" i="6"/>
  <c r="S33" i="6"/>
  <c r="BH31" i="6"/>
  <c r="BF31" i="6"/>
  <c r="BE31" i="6"/>
  <c r="AN93" i="4" s="1"/>
  <c r="AK31" i="6"/>
  <c r="AD51" i="4" s="1"/>
  <c r="Q31" i="6"/>
  <c r="O31" i="6"/>
  <c r="N31" i="6"/>
  <c r="M31" i="6"/>
  <c r="L31" i="6"/>
  <c r="L60" i="6" s="1"/>
  <c r="K31" i="6"/>
  <c r="J31" i="6"/>
  <c r="I31" i="6"/>
  <c r="H31" i="6"/>
  <c r="G31" i="6"/>
  <c r="F31" i="6"/>
  <c r="E31" i="6"/>
  <c r="BI30" i="6"/>
  <c r="BG30" i="6"/>
  <c r="BE30" i="6"/>
  <c r="BC30" i="6"/>
  <c r="BA30" i="6"/>
  <c r="AY30" i="6"/>
  <c r="AW30" i="6"/>
  <c r="AU30" i="6"/>
  <c r="AS30" i="6"/>
  <c r="AQ30" i="6"/>
  <c r="AO30" i="6"/>
  <c r="AM30" i="6"/>
  <c r="AK30" i="6"/>
  <c r="AI30" i="6"/>
  <c r="AG30" i="6"/>
  <c r="AE30" i="6"/>
  <c r="AC30" i="6"/>
  <c r="AA30" i="6"/>
  <c r="Y30" i="6"/>
  <c r="W30" i="6"/>
  <c r="U30" i="6"/>
  <c r="S30" i="6"/>
  <c r="BI29" i="6"/>
  <c r="BG29" i="6"/>
  <c r="BE29" i="6"/>
  <c r="BC29" i="6"/>
  <c r="BA29" i="6"/>
  <c r="AY29" i="6"/>
  <c r="AW29" i="6"/>
  <c r="AU29" i="6"/>
  <c r="AS29" i="6"/>
  <c r="AQ29" i="6"/>
  <c r="AO29" i="6"/>
  <c r="AM29" i="6"/>
  <c r="AK29" i="6"/>
  <c r="AI29" i="6"/>
  <c r="AG29" i="6"/>
  <c r="AE29" i="6"/>
  <c r="AC29" i="6"/>
  <c r="AA29" i="6"/>
  <c r="Y29" i="6"/>
  <c r="W29" i="6"/>
  <c r="U29" i="6"/>
  <c r="S29" i="6"/>
  <c r="BI28" i="6"/>
  <c r="BG28" i="6"/>
  <c r="BE28" i="6"/>
  <c r="BC28" i="6"/>
  <c r="BA28" i="6"/>
  <c r="AY28" i="6"/>
  <c r="AW28" i="6"/>
  <c r="AU28" i="6"/>
  <c r="AS28" i="6"/>
  <c r="AQ28" i="6"/>
  <c r="AO28" i="6"/>
  <c r="AM28" i="6"/>
  <c r="AK28" i="6"/>
  <c r="AI28" i="6"/>
  <c r="AG28" i="6"/>
  <c r="AE28" i="6"/>
  <c r="AC28" i="6"/>
  <c r="AA28" i="6"/>
  <c r="Y28" i="6"/>
  <c r="W28" i="6"/>
  <c r="U28" i="6"/>
  <c r="S28" i="6"/>
  <c r="BI27" i="6"/>
  <c r="BG27" i="6"/>
  <c r="BE27" i="6"/>
  <c r="BC27" i="6"/>
  <c r="BA27" i="6"/>
  <c r="AY27" i="6"/>
  <c r="AW27" i="6"/>
  <c r="AU27" i="6"/>
  <c r="AS27" i="6"/>
  <c r="AQ27" i="6"/>
  <c r="AO27" i="6"/>
  <c r="AM27" i="6"/>
  <c r="AK27" i="6"/>
  <c r="AI27" i="6"/>
  <c r="AG27" i="6"/>
  <c r="AE27" i="6"/>
  <c r="AC27" i="6"/>
  <c r="AA27" i="6"/>
  <c r="Y27" i="6"/>
  <c r="W27" i="6"/>
  <c r="U27" i="6"/>
  <c r="S27" i="6"/>
  <c r="BI26" i="6"/>
  <c r="BG26" i="6"/>
  <c r="BE26" i="6"/>
  <c r="BC26" i="6"/>
  <c r="BA26" i="6"/>
  <c r="AY26" i="6"/>
  <c r="AW26" i="6"/>
  <c r="AU26" i="6"/>
  <c r="AS26" i="6"/>
  <c r="AQ26" i="6"/>
  <c r="AO26" i="6"/>
  <c r="AM26" i="6"/>
  <c r="AK26" i="6"/>
  <c r="AI26" i="6"/>
  <c r="AG26" i="6"/>
  <c r="AE26" i="6"/>
  <c r="AC26" i="6"/>
  <c r="AA26" i="6"/>
  <c r="Y26" i="6"/>
  <c r="W26" i="6"/>
  <c r="U26" i="6"/>
  <c r="S26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BI24" i="6"/>
  <c r="BG24" i="6"/>
  <c r="BE24" i="6"/>
  <c r="BC24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BI23" i="6"/>
  <c r="BG23" i="6"/>
  <c r="BE23" i="6"/>
  <c r="BC23" i="6"/>
  <c r="BA23" i="6"/>
  <c r="AY23" i="6"/>
  <c r="AW23" i="6"/>
  <c r="AU23" i="6"/>
  <c r="AS23" i="6"/>
  <c r="AQ23" i="6"/>
  <c r="AO23" i="6"/>
  <c r="AM23" i="6"/>
  <c r="AK23" i="6"/>
  <c r="AI23" i="6"/>
  <c r="AG23" i="6"/>
  <c r="AE23" i="6"/>
  <c r="AC23" i="6"/>
  <c r="AA23" i="6"/>
  <c r="Y23" i="6"/>
  <c r="W23" i="6"/>
  <c r="U23" i="6"/>
  <c r="S23" i="6"/>
  <c r="BI22" i="6"/>
  <c r="BG22" i="6"/>
  <c r="BE22" i="6"/>
  <c r="BC22" i="6"/>
  <c r="BA22" i="6"/>
  <c r="AY22" i="6"/>
  <c r="AW22" i="6"/>
  <c r="AU22" i="6"/>
  <c r="AS22" i="6"/>
  <c r="AQ22" i="6"/>
  <c r="AO22" i="6"/>
  <c r="AM22" i="6"/>
  <c r="AK22" i="6"/>
  <c r="AI22" i="6"/>
  <c r="AG22" i="6"/>
  <c r="AE22" i="6"/>
  <c r="AC22" i="6"/>
  <c r="AA22" i="6"/>
  <c r="Y22" i="6"/>
  <c r="W22" i="6"/>
  <c r="U22" i="6"/>
  <c r="S22" i="6"/>
  <c r="BI21" i="6"/>
  <c r="BG21" i="6"/>
  <c r="BE21" i="6"/>
  <c r="BC21" i="6"/>
  <c r="BA21" i="6"/>
  <c r="AY21" i="6"/>
  <c r="AW21" i="6"/>
  <c r="AU21" i="6"/>
  <c r="AS21" i="6"/>
  <c r="AQ21" i="6"/>
  <c r="AO21" i="6"/>
  <c r="AM21" i="6"/>
  <c r="AK21" i="6"/>
  <c r="AI21" i="6"/>
  <c r="AG21" i="6"/>
  <c r="AE21" i="6"/>
  <c r="AC21" i="6"/>
  <c r="AA21" i="6"/>
  <c r="Y21" i="6"/>
  <c r="W21" i="6"/>
  <c r="U21" i="6"/>
  <c r="S21" i="6"/>
  <c r="BI20" i="6"/>
  <c r="BG20" i="6"/>
  <c r="BE20" i="6"/>
  <c r="BC20" i="6"/>
  <c r="BA20" i="6"/>
  <c r="AY20" i="6"/>
  <c r="AW20" i="6"/>
  <c r="AU20" i="6"/>
  <c r="AS20" i="6"/>
  <c r="AQ20" i="6"/>
  <c r="AO20" i="6"/>
  <c r="AM20" i="6"/>
  <c r="AK20" i="6"/>
  <c r="AI20" i="6"/>
  <c r="AG20" i="6"/>
  <c r="AE20" i="6"/>
  <c r="AC20" i="6"/>
  <c r="AA20" i="6"/>
  <c r="Y20" i="6"/>
  <c r="W20" i="6"/>
  <c r="U20" i="6"/>
  <c r="S20" i="6"/>
  <c r="BI18" i="6"/>
  <c r="BG18" i="6"/>
  <c r="BE18" i="6"/>
  <c r="AN92" i="4" s="1"/>
  <c r="BC18" i="6"/>
  <c r="BA18" i="6"/>
  <c r="AY18" i="6"/>
  <c r="AW18" i="6"/>
  <c r="AD78" i="4" s="1"/>
  <c r="AU18" i="6"/>
  <c r="AS18" i="6"/>
  <c r="AQ18" i="6"/>
  <c r="AO18" i="6"/>
  <c r="AM18" i="6"/>
  <c r="AK18" i="6"/>
  <c r="AI18" i="6"/>
  <c r="AG18" i="6"/>
  <c r="AC18" i="6"/>
  <c r="AA18" i="6"/>
  <c r="Y18" i="6"/>
  <c r="W18" i="6"/>
  <c r="U18" i="6"/>
  <c r="S18" i="6"/>
  <c r="BH16" i="6"/>
  <c r="BI16" i="6" s="1"/>
  <c r="BF16" i="6"/>
  <c r="BE16" i="6"/>
  <c r="BC16" i="6"/>
  <c r="BA16" i="6"/>
  <c r="AY16" i="6"/>
  <c r="AN77" i="4" s="1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BH14" i="6"/>
  <c r="BI14" i="6" s="1"/>
  <c r="E120" i="4" s="1"/>
  <c r="BF14" i="6"/>
  <c r="AW14" i="6"/>
  <c r="AU14" i="6"/>
  <c r="AA14" i="6"/>
  <c r="Y14" i="6"/>
  <c r="Q14" i="6"/>
  <c r="BE14" i="6" s="1"/>
  <c r="O14" i="6"/>
  <c r="O60" i="6" s="1"/>
  <c r="N14" i="6"/>
  <c r="M14" i="6"/>
  <c r="L14" i="6"/>
  <c r="K14" i="6"/>
  <c r="K60" i="6" s="1"/>
  <c r="J14" i="6"/>
  <c r="I14" i="6"/>
  <c r="H14" i="6"/>
  <c r="G14" i="6"/>
  <c r="G60" i="6" s="1"/>
  <c r="F14" i="6"/>
  <c r="E14" i="6"/>
  <c r="BI13" i="6"/>
  <c r="BG13" i="6"/>
  <c r="BE13" i="6"/>
  <c r="BC13" i="6"/>
  <c r="BA13" i="6"/>
  <c r="AY13" i="6"/>
  <c r="AW13" i="6"/>
  <c r="AU13" i="6"/>
  <c r="AS13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BI12" i="6"/>
  <c r="BG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BI11" i="6"/>
  <c r="BG11" i="6"/>
  <c r="BE11" i="6"/>
  <c r="BC11" i="6"/>
  <c r="BA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S11" i="6"/>
  <c r="BI10" i="6"/>
  <c r="BG10" i="6"/>
  <c r="BE10" i="6"/>
  <c r="BC10" i="6"/>
  <c r="BA10" i="6"/>
  <c r="AY10" i="6"/>
  <c r="AW10" i="6"/>
  <c r="AU10" i="6"/>
  <c r="AS10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BI9" i="6"/>
  <c r="BG9" i="6"/>
  <c r="BE9" i="6"/>
  <c r="BC9" i="6"/>
  <c r="BA9" i="6"/>
  <c r="AY9" i="6"/>
  <c r="AW9" i="6"/>
  <c r="AU9" i="6"/>
  <c r="AS9" i="6"/>
  <c r="AQ9" i="6"/>
  <c r="AO9" i="6"/>
  <c r="AM9" i="6"/>
  <c r="AK9" i="6"/>
  <c r="AI9" i="6"/>
  <c r="AG9" i="6"/>
  <c r="AE9" i="6"/>
  <c r="AC9" i="6"/>
  <c r="AA9" i="6"/>
  <c r="Y9" i="6"/>
  <c r="W9" i="6"/>
  <c r="U9" i="6"/>
  <c r="S9" i="6"/>
  <c r="BI8" i="6"/>
  <c r="BG8" i="6"/>
  <c r="BE8" i="6"/>
  <c r="BC8" i="6"/>
  <c r="BA8" i="6"/>
  <c r="AY8" i="6"/>
  <c r="AW8" i="6"/>
  <c r="AU8" i="6"/>
  <c r="AS8" i="6"/>
  <c r="AQ8" i="6"/>
  <c r="AO8" i="6"/>
  <c r="AM8" i="6"/>
  <c r="AK8" i="6"/>
  <c r="AI8" i="6"/>
  <c r="AG8" i="6"/>
  <c r="AE8" i="6"/>
  <c r="AC8" i="6"/>
  <c r="AA8" i="6"/>
  <c r="Y8" i="6"/>
  <c r="W8" i="6"/>
  <c r="U8" i="6"/>
  <c r="S8" i="6"/>
  <c r="BI7" i="6"/>
  <c r="BG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BI5" i="6"/>
  <c r="BG5" i="6"/>
  <c r="BE5" i="6"/>
  <c r="BC5" i="6"/>
  <c r="BA5" i="6"/>
  <c r="AY5" i="6"/>
  <c r="AW5" i="6"/>
  <c r="AU5" i="6"/>
  <c r="AS5" i="6"/>
  <c r="AQ5" i="6"/>
  <c r="AO5" i="6"/>
  <c r="AM5" i="6"/>
  <c r="AK5" i="6"/>
  <c r="AI5" i="6"/>
  <c r="AG5" i="6"/>
  <c r="AE5" i="6"/>
  <c r="AC5" i="6"/>
  <c r="AA5" i="6"/>
  <c r="Y5" i="6"/>
  <c r="W5" i="6"/>
  <c r="U5" i="6"/>
  <c r="S5" i="6"/>
  <c r="BI4" i="6"/>
  <c r="BG4" i="6"/>
  <c r="BE4" i="6"/>
  <c r="BC4" i="6"/>
  <c r="BA4" i="6"/>
  <c r="AY4" i="6"/>
  <c r="AW4" i="6"/>
  <c r="AU4" i="6"/>
  <c r="AS4" i="6"/>
  <c r="AQ4" i="6"/>
  <c r="AO4" i="6"/>
  <c r="AM4" i="6"/>
  <c r="AK4" i="6"/>
  <c r="AI4" i="6"/>
  <c r="AG4" i="6"/>
  <c r="AE4" i="6"/>
  <c r="AC4" i="6"/>
  <c r="AA4" i="6"/>
  <c r="Y4" i="6"/>
  <c r="W4" i="6"/>
  <c r="U4" i="6"/>
  <c r="S4" i="6"/>
  <c r="BI3" i="6"/>
  <c r="BG3" i="6"/>
  <c r="BE3" i="6"/>
  <c r="BC3" i="6"/>
  <c r="BA3" i="6"/>
  <c r="AY3" i="6"/>
  <c r="AW3" i="6"/>
  <c r="AU3" i="6"/>
  <c r="AS3" i="6"/>
  <c r="AQ3" i="6"/>
  <c r="AO3" i="6"/>
  <c r="AM3" i="6"/>
  <c r="AK3" i="6"/>
  <c r="AI3" i="6"/>
  <c r="AG3" i="6"/>
  <c r="AE3" i="6"/>
  <c r="AC3" i="6"/>
  <c r="AA3" i="6"/>
  <c r="Y3" i="6"/>
  <c r="W3" i="6"/>
  <c r="U3" i="6"/>
  <c r="S3" i="6"/>
  <c r="BI2" i="6"/>
  <c r="BG2" i="6"/>
  <c r="BE2" i="6"/>
  <c r="BC2" i="6"/>
  <c r="BA2" i="6"/>
  <c r="AY2" i="6"/>
  <c r="AW2" i="6"/>
  <c r="AU2" i="6"/>
  <c r="AS2" i="6"/>
  <c r="AQ2" i="6"/>
  <c r="AO2" i="6"/>
  <c r="AM2" i="6"/>
  <c r="AK2" i="6"/>
  <c r="AI2" i="6"/>
  <c r="AG2" i="6"/>
  <c r="AE2" i="6"/>
  <c r="AC2" i="6"/>
  <c r="AA2" i="6"/>
  <c r="Y2" i="6"/>
  <c r="W2" i="6"/>
  <c r="U2" i="6"/>
  <c r="S2" i="6"/>
  <c r="C66" i="5"/>
  <c r="C65" i="5"/>
  <c r="E124" i="4"/>
  <c r="E122" i="4"/>
  <c r="E121" i="4"/>
  <c r="U114" i="4"/>
  <c r="U109" i="4"/>
  <c r="S109" i="4"/>
  <c r="U107" i="4"/>
  <c r="S107" i="4"/>
  <c r="AO99" i="4"/>
  <c r="AE99" i="4"/>
  <c r="U99" i="4"/>
  <c r="AE97" i="4"/>
  <c r="U97" i="4"/>
  <c r="AO96" i="4"/>
  <c r="AE96" i="4"/>
  <c r="U96" i="4"/>
  <c r="AO95" i="4"/>
  <c r="AE95" i="4"/>
  <c r="AB95" i="4"/>
  <c r="U95" i="4"/>
  <c r="AO94" i="4"/>
  <c r="AN94" i="4"/>
  <c r="AM94" i="4"/>
  <c r="AG94" i="4"/>
  <c r="AE94" i="4"/>
  <c r="AD94" i="4"/>
  <c r="AC94" i="4"/>
  <c r="W94" i="4"/>
  <c r="U94" i="4"/>
  <c r="T94" i="4"/>
  <c r="S94" i="4"/>
  <c r="Y94" i="4" s="1"/>
  <c r="AO93" i="4"/>
  <c r="AE93" i="4"/>
  <c r="U93" i="4"/>
  <c r="AO92" i="4"/>
  <c r="AE92" i="4"/>
  <c r="AD92" i="4"/>
  <c r="AC92" i="4"/>
  <c r="AI92" i="4" s="1"/>
  <c r="Y92" i="4"/>
  <c r="U92" i="4"/>
  <c r="T92" i="4"/>
  <c r="S92" i="4"/>
  <c r="C92" i="4"/>
  <c r="AO91" i="4"/>
  <c r="AN91" i="4"/>
  <c r="AE91" i="4"/>
  <c r="AD91" i="4"/>
  <c r="U91" i="4"/>
  <c r="T91" i="4"/>
  <c r="C91" i="4"/>
  <c r="AO90" i="4"/>
  <c r="AN90" i="4"/>
  <c r="AE90" i="4"/>
  <c r="U90" i="4"/>
  <c r="AO85" i="4"/>
  <c r="AE85" i="4"/>
  <c r="U85" i="4"/>
  <c r="AO83" i="4"/>
  <c r="AE83" i="4"/>
  <c r="U83" i="4"/>
  <c r="AO82" i="4"/>
  <c r="AE82" i="4"/>
  <c r="U82" i="4"/>
  <c r="AO81" i="4"/>
  <c r="AE81" i="4"/>
  <c r="AD81" i="4"/>
  <c r="U81" i="4"/>
  <c r="L81" i="4"/>
  <c r="AS80" i="4"/>
  <c r="AO80" i="4"/>
  <c r="AN80" i="4"/>
  <c r="AM80" i="4"/>
  <c r="AQ80" i="4" s="1"/>
  <c r="AI80" i="4"/>
  <c r="AE80" i="4"/>
  <c r="AD80" i="4"/>
  <c r="AC80" i="4"/>
  <c r="AG80" i="4" s="1"/>
  <c r="U80" i="4"/>
  <c r="T80" i="4"/>
  <c r="S80" i="4"/>
  <c r="C80" i="4"/>
  <c r="AO79" i="4"/>
  <c r="AG79" i="4"/>
  <c r="AE79" i="4"/>
  <c r="U79" i="4"/>
  <c r="AO78" i="4"/>
  <c r="AN78" i="4"/>
  <c r="AM78" i="4"/>
  <c r="AS78" i="4" s="1"/>
  <c r="AE78" i="4"/>
  <c r="AC78" i="4"/>
  <c r="AI78" i="4" s="1"/>
  <c r="U78" i="4"/>
  <c r="T78" i="4"/>
  <c r="S78" i="4"/>
  <c r="C78" i="4"/>
  <c r="AQ77" i="4"/>
  <c r="AO77" i="4"/>
  <c r="AE77" i="4"/>
  <c r="AD77" i="4"/>
  <c r="U77" i="4"/>
  <c r="T77" i="4"/>
  <c r="C77" i="4"/>
  <c r="AO76" i="4"/>
  <c r="AE76" i="4"/>
  <c r="AD76" i="4"/>
  <c r="U76" i="4"/>
  <c r="AO71" i="4"/>
  <c r="AE71" i="4"/>
  <c r="U71" i="4"/>
  <c r="AO69" i="4"/>
  <c r="AE69" i="4"/>
  <c r="U69" i="4"/>
  <c r="AO68" i="4"/>
  <c r="AN68" i="4"/>
  <c r="AE68" i="4"/>
  <c r="AD68" i="4"/>
  <c r="U68" i="4"/>
  <c r="T68" i="4"/>
  <c r="C68" i="4"/>
  <c r="AO67" i="4"/>
  <c r="AE67" i="4"/>
  <c r="U67" i="4"/>
  <c r="T67" i="4"/>
  <c r="AS66" i="4"/>
  <c r="AO66" i="4"/>
  <c r="AN66" i="4"/>
  <c r="AM66" i="4"/>
  <c r="AQ66" i="4" s="1"/>
  <c r="AI66" i="4"/>
  <c r="AE66" i="4"/>
  <c r="AD66" i="4"/>
  <c r="AC66" i="4"/>
  <c r="AG66" i="4" s="1"/>
  <c r="U66" i="4"/>
  <c r="T66" i="4"/>
  <c r="S66" i="4"/>
  <c r="Y80" i="4" s="1"/>
  <c r="C66" i="4"/>
  <c r="B66" i="4"/>
  <c r="D80" i="4" s="1"/>
  <c r="AO65" i="4"/>
  <c r="AE65" i="4"/>
  <c r="Y65" i="4"/>
  <c r="U65" i="4"/>
  <c r="AO64" i="4"/>
  <c r="AN64" i="4"/>
  <c r="AM64" i="4"/>
  <c r="AS64" i="4" s="1"/>
  <c r="AE64" i="4"/>
  <c r="AD64" i="4"/>
  <c r="AC64" i="4"/>
  <c r="AI64" i="4" s="1"/>
  <c r="U64" i="4"/>
  <c r="T64" i="4"/>
  <c r="S64" i="4"/>
  <c r="C64" i="4"/>
  <c r="AO63" i="4"/>
  <c r="AN63" i="4"/>
  <c r="AE63" i="4"/>
  <c r="AG63" i="4" s="1"/>
  <c r="AD63" i="4"/>
  <c r="AC63" i="4"/>
  <c r="U63" i="4"/>
  <c r="T63" i="4"/>
  <c r="C63" i="4"/>
  <c r="AO62" i="4"/>
  <c r="AE62" i="4"/>
  <c r="U62" i="4"/>
  <c r="AO57" i="4"/>
  <c r="AE57" i="4"/>
  <c r="U57" i="4"/>
  <c r="AO55" i="4"/>
  <c r="AE55" i="4"/>
  <c r="U55" i="4"/>
  <c r="AO54" i="4"/>
  <c r="AE54" i="4"/>
  <c r="U54" i="4"/>
  <c r="AO53" i="4"/>
  <c r="AL53" i="4"/>
  <c r="AE53" i="4"/>
  <c r="U53" i="4"/>
  <c r="AO52" i="4"/>
  <c r="AN52" i="4"/>
  <c r="AM52" i="4"/>
  <c r="AS52" i="4" s="1"/>
  <c r="AG52" i="4"/>
  <c r="AE52" i="4"/>
  <c r="AD52" i="4"/>
  <c r="AC52" i="4"/>
  <c r="W52" i="4"/>
  <c r="U52" i="4"/>
  <c r="T52" i="4"/>
  <c r="S52" i="4"/>
  <c r="K52" i="4"/>
  <c r="C52" i="4"/>
  <c r="AO51" i="4"/>
  <c r="AE51" i="4"/>
  <c r="U51" i="4"/>
  <c r="AS50" i="4"/>
  <c r="AO50" i="4"/>
  <c r="AN50" i="4"/>
  <c r="AM50" i="4"/>
  <c r="AI50" i="4"/>
  <c r="AE50" i="4"/>
  <c r="AD50" i="4"/>
  <c r="AC50" i="4"/>
  <c r="AG50" i="4" s="1"/>
  <c r="U50" i="4"/>
  <c r="T50" i="4"/>
  <c r="S50" i="4"/>
  <c r="L50" i="4"/>
  <c r="C50" i="4"/>
  <c r="AO49" i="4"/>
  <c r="AN49" i="4"/>
  <c r="AE49" i="4"/>
  <c r="AD49" i="4"/>
  <c r="U49" i="4"/>
  <c r="T49" i="4"/>
  <c r="C49" i="4"/>
  <c r="AO48" i="4"/>
  <c r="AE48" i="4"/>
  <c r="U48" i="4"/>
  <c r="U43" i="4"/>
  <c r="T43" i="4"/>
  <c r="C43" i="4"/>
  <c r="U41" i="4"/>
  <c r="W40" i="4"/>
  <c r="U40" i="4"/>
  <c r="T40" i="4"/>
  <c r="U39" i="4"/>
  <c r="U38" i="4"/>
  <c r="T38" i="4"/>
  <c r="S38" i="4"/>
  <c r="C38" i="4"/>
  <c r="U37" i="4"/>
  <c r="U36" i="4"/>
  <c r="T36" i="4"/>
  <c r="S36" i="4"/>
  <c r="Y50" i="4" s="1"/>
  <c r="C36" i="4"/>
  <c r="U35" i="4"/>
  <c r="T35" i="4"/>
  <c r="S35" i="4"/>
  <c r="C35" i="4"/>
  <c r="U34" i="4"/>
  <c r="AE26" i="4"/>
  <c r="U26" i="4"/>
  <c r="AE25" i="4"/>
  <c r="W25" i="4"/>
  <c r="U25" i="4"/>
  <c r="AE24" i="4"/>
  <c r="U24" i="4"/>
  <c r="T24" i="4"/>
  <c r="B24" i="4"/>
  <c r="D39" i="4" s="1"/>
  <c r="AI23" i="4"/>
  <c r="AE23" i="4"/>
  <c r="AD23" i="4"/>
  <c r="AC23" i="4"/>
  <c r="AG23" i="4" s="1"/>
  <c r="Y23" i="4"/>
  <c r="U23" i="4"/>
  <c r="T23" i="4"/>
  <c r="S23" i="4"/>
  <c r="Y38" i="4" s="1"/>
  <c r="E23" i="4"/>
  <c r="C23" i="4"/>
  <c r="AE22" i="4"/>
  <c r="U22" i="4"/>
  <c r="AE21" i="4"/>
  <c r="AD21" i="4"/>
  <c r="AC21" i="4"/>
  <c r="U21" i="4"/>
  <c r="T21" i="4"/>
  <c r="S21" i="4"/>
  <c r="Y21" i="4" s="1"/>
  <c r="R21" i="4"/>
  <c r="E21" i="4"/>
  <c r="C21" i="4"/>
  <c r="AE20" i="4"/>
  <c r="AD20" i="4"/>
  <c r="AC20" i="4"/>
  <c r="AI20" i="4" s="1"/>
  <c r="U20" i="4"/>
  <c r="T20" i="4"/>
  <c r="S20" i="4"/>
  <c r="W20" i="4" s="1"/>
  <c r="E20" i="4"/>
  <c r="C20" i="4"/>
  <c r="AE19" i="4"/>
  <c r="AD19" i="4"/>
  <c r="U19" i="4"/>
  <c r="T19" i="4"/>
  <c r="E19" i="4"/>
  <c r="C19" i="4"/>
  <c r="AE11" i="4"/>
  <c r="U11" i="4"/>
  <c r="AE10" i="4"/>
  <c r="AD10" i="4"/>
  <c r="AC10" i="4"/>
  <c r="AI10" i="4" s="1"/>
  <c r="U10" i="4"/>
  <c r="E10" i="4"/>
  <c r="AE9" i="4"/>
  <c r="U9" i="4"/>
  <c r="AI8" i="4"/>
  <c r="AE8" i="4"/>
  <c r="AD8" i="4"/>
  <c r="AC8" i="4"/>
  <c r="AB8" i="4"/>
  <c r="AF8" i="4" s="1"/>
  <c r="Y8" i="4"/>
  <c r="X8" i="4"/>
  <c r="U8" i="4"/>
  <c r="T8" i="4"/>
  <c r="S8" i="4"/>
  <c r="W8" i="4" s="1"/>
  <c r="R8" i="4"/>
  <c r="E8" i="4"/>
  <c r="D8" i="4"/>
  <c r="C8" i="4"/>
  <c r="B8" i="4"/>
  <c r="F23" i="4" s="1"/>
  <c r="AE7" i="4"/>
  <c r="U7" i="4"/>
  <c r="AE6" i="4"/>
  <c r="AD6" i="4"/>
  <c r="AC6" i="4"/>
  <c r="AI6" i="4" s="1"/>
  <c r="U6" i="4"/>
  <c r="T6" i="4"/>
  <c r="S6" i="4"/>
  <c r="Y6" i="4" s="1"/>
  <c r="E6" i="4"/>
  <c r="C6" i="4"/>
  <c r="AE5" i="4"/>
  <c r="AD5" i="4"/>
  <c r="W5" i="4"/>
  <c r="U5" i="4"/>
  <c r="T5" i="4"/>
  <c r="S5" i="4"/>
  <c r="E5" i="4"/>
  <c r="D5" i="4"/>
  <c r="C5" i="4"/>
  <c r="AE4" i="4"/>
  <c r="U4" i="4"/>
  <c r="G52" i="3"/>
  <c r="F52" i="3"/>
  <c r="E52" i="3"/>
  <c r="D52" i="3"/>
  <c r="C52" i="3"/>
  <c r="G51" i="3"/>
  <c r="F51" i="3"/>
  <c r="E51" i="3"/>
  <c r="D51" i="3"/>
  <c r="C51" i="3"/>
  <c r="G50" i="3"/>
  <c r="F50" i="3"/>
  <c r="E50" i="3"/>
  <c r="D50" i="3"/>
  <c r="C50" i="3"/>
  <c r="H49" i="3"/>
  <c r="G49" i="3"/>
  <c r="F49" i="3"/>
  <c r="E49" i="3"/>
  <c r="D49" i="3"/>
  <c r="C49" i="3"/>
  <c r="H48" i="3"/>
  <c r="G48" i="3"/>
  <c r="F48" i="3"/>
  <c r="E48" i="3"/>
  <c r="D48" i="3"/>
  <c r="C48" i="3"/>
  <c r="H47" i="3"/>
  <c r="G47" i="3"/>
  <c r="F47" i="3"/>
  <c r="E47" i="3"/>
  <c r="D47" i="3"/>
  <c r="C47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6" i="3"/>
  <c r="L16" i="3"/>
  <c r="K16" i="3"/>
  <c r="J16" i="3"/>
  <c r="I16" i="3"/>
  <c r="H16" i="3"/>
  <c r="G16" i="3"/>
  <c r="F16" i="3"/>
  <c r="E16" i="3"/>
  <c r="D16" i="3"/>
  <c r="C16" i="3"/>
  <c r="B16" i="3"/>
  <c r="M15" i="3"/>
  <c r="L15" i="3"/>
  <c r="K15" i="3"/>
  <c r="J15" i="3"/>
  <c r="I15" i="3"/>
  <c r="H15" i="3"/>
  <c r="H24" i="3" s="1"/>
  <c r="G15" i="3"/>
  <c r="F15" i="3"/>
  <c r="E15" i="3"/>
  <c r="E24" i="3" s="1"/>
  <c r="D15" i="3"/>
  <c r="D24" i="3" s="1"/>
  <c r="C15" i="3"/>
  <c r="C23" i="3" s="1"/>
  <c r="B15" i="3"/>
  <c r="B24" i="3" s="1"/>
  <c r="B8" i="3"/>
  <c r="BG73" i="2"/>
  <c r="BC73" i="2"/>
  <c r="AY73" i="2"/>
  <c r="AU73" i="2"/>
  <c r="AQ73" i="2"/>
  <c r="AM73" i="2"/>
  <c r="AI73" i="2"/>
  <c r="AG73" i="2"/>
  <c r="AE73" i="2"/>
  <c r="AC73" i="2"/>
  <c r="S43" i="4" s="1"/>
  <c r="W43" i="4" s="1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BH71" i="2"/>
  <c r="BF71" i="2"/>
  <c r="BD71" i="2"/>
  <c r="BB71" i="2"/>
  <c r="AZ71" i="2"/>
  <c r="AX71" i="2"/>
  <c r="AV71" i="2"/>
  <c r="BH70" i="2"/>
  <c r="BF70" i="2"/>
  <c r="BD70" i="2"/>
  <c r="BB70" i="2"/>
  <c r="AZ70" i="2"/>
  <c r="AX70" i="2"/>
  <c r="AV70" i="2"/>
  <c r="AT70" i="2"/>
  <c r="AR70" i="2"/>
  <c r="AP70" i="2"/>
  <c r="AN70" i="2"/>
  <c r="AL70" i="2"/>
  <c r="AJ70" i="2"/>
  <c r="BJ69" i="2"/>
  <c r="BH69" i="2"/>
  <c r="BF69" i="2"/>
  <c r="BD69" i="2"/>
  <c r="K101" i="4" s="1"/>
  <c r="BB69" i="2"/>
  <c r="AZ69" i="2"/>
  <c r="AX69" i="2"/>
  <c r="AV69" i="2"/>
  <c r="AT69" i="2"/>
  <c r="AR69" i="2"/>
  <c r="AP69" i="2"/>
  <c r="AN69" i="2"/>
  <c r="AL69" i="2"/>
  <c r="AJ69" i="2"/>
  <c r="AH69" i="2"/>
  <c r="AH73" i="2" s="1"/>
  <c r="L43" i="4" s="1"/>
  <c r="AF69" i="2"/>
  <c r="AF73" i="2" s="1"/>
  <c r="K43" i="4" s="1"/>
  <c r="AD69" i="2"/>
  <c r="AD73" i="2" s="1"/>
  <c r="V69" i="2"/>
  <c r="T69" i="2"/>
  <c r="AZ68" i="2"/>
  <c r="AX68" i="2"/>
  <c r="AV68" i="2"/>
  <c r="AT68" i="2"/>
  <c r="AR68" i="2"/>
  <c r="AP68" i="2"/>
  <c r="AN68" i="2"/>
  <c r="BH67" i="2"/>
  <c r="BF67" i="2"/>
  <c r="BD67" i="2"/>
  <c r="BB67" i="2"/>
  <c r="AZ67" i="2"/>
  <c r="AX67" i="2"/>
  <c r="AV67" i="2"/>
  <c r="AT67" i="2"/>
  <c r="AR67" i="2"/>
  <c r="AP67" i="2"/>
  <c r="AN67" i="2"/>
  <c r="AL67" i="2"/>
  <c r="AJ67" i="2"/>
  <c r="AU66" i="2"/>
  <c r="AS66" i="2"/>
  <c r="AQ66" i="2"/>
  <c r="AO66" i="2"/>
  <c r="AM66" i="2"/>
  <c r="AK66" i="2"/>
  <c r="AI66" i="2"/>
  <c r="R66" i="2"/>
  <c r="Q66" i="2"/>
  <c r="BG65" i="2"/>
  <c r="BH65" i="2" s="1"/>
  <c r="BF65" i="2"/>
  <c r="BE65" i="2"/>
  <c r="BE73" i="2" s="1"/>
  <c r="BC65" i="2"/>
  <c r="BD65" i="2" s="1"/>
  <c r="BB65" i="2"/>
  <c r="BA65" i="2"/>
  <c r="BA73" i="2" s="1"/>
  <c r="AY65" i="2"/>
  <c r="AZ65" i="2" s="1"/>
  <c r="AX65" i="2"/>
  <c r="AW65" i="2"/>
  <c r="AW73" i="2" s="1"/>
  <c r="AU65" i="2"/>
  <c r="AV65" i="2" s="1"/>
  <c r="AT65" i="2"/>
  <c r="AS65" i="2"/>
  <c r="AS73" i="2" s="1"/>
  <c r="AQ65" i="2"/>
  <c r="AR65" i="2" s="1"/>
  <c r="AP65" i="2"/>
  <c r="AO65" i="2"/>
  <c r="AO73" i="2" s="1"/>
  <c r="AM65" i="2"/>
  <c r="AK65" i="2"/>
  <c r="AK73" i="2" s="1"/>
  <c r="AI65" i="2"/>
  <c r="R65" i="2"/>
  <c r="R73" i="2" s="1"/>
  <c r="BH64" i="2"/>
  <c r="BF64" i="2"/>
  <c r="BD64" i="2"/>
  <c r="BB64" i="2"/>
  <c r="AZ64" i="2"/>
  <c r="AX64" i="2"/>
  <c r="AV64" i="2"/>
  <c r="AT64" i="2"/>
  <c r="AR64" i="2"/>
  <c r="AP64" i="2"/>
  <c r="AN64" i="2"/>
  <c r="AL64" i="2"/>
  <c r="AJ64" i="2"/>
  <c r="O60" i="2"/>
  <c r="K60" i="2"/>
  <c r="G60" i="2"/>
  <c r="BI58" i="2"/>
  <c r="BG58" i="2"/>
  <c r="S111" i="4" s="1"/>
  <c r="BE58" i="2"/>
  <c r="AM96" i="4" s="1"/>
  <c r="BC58" i="2"/>
  <c r="AC96" i="4" s="1"/>
  <c r="BA58" i="2"/>
  <c r="S96" i="4" s="1"/>
  <c r="W96" i="4" s="1"/>
  <c r="AY58" i="2"/>
  <c r="AM82" i="4" s="1"/>
  <c r="AW58" i="2"/>
  <c r="AC82" i="4" s="1"/>
  <c r="AU58" i="2"/>
  <c r="AS58" i="2"/>
  <c r="AM68" i="4" s="1"/>
  <c r="AQ58" i="2"/>
  <c r="AC68" i="4" s="1"/>
  <c r="AO58" i="2"/>
  <c r="S68" i="4" s="1"/>
  <c r="AM58" i="2"/>
  <c r="AM54" i="4" s="1"/>
  <c r="AK58" i="2"/>
  <c r="AC54" i="4" s="1"/>
  <c r="AI58" i="2"/>
  <c r="S54" i="4" s="1"/>
  <c r="AG58" i="2"/>
  <c r="AG60" i="2" s="1"/>
  <c r="AE58" i="2"/>
  <c r="AC58" i="2"/>
  <c r="S40" i="4" s="1"/>
  <c r="AA58" i="2"/>
  <c r="S25" i="4" s="1"/>
  <c r="Y25" i="4" s="1"/>
  <c r="Y58" i="2"/>
  <c r="AC25" i="4" s="1"/>
  <c r="W58" i="2"/>
  <c r="S10" i="4" s="1"/>
  <c r="U58" i="2"/>
  <c r="S58" i="2"/>
  <c r="R58" i="2"/>
  <c r="Q58" i="2"/>
  <c r="O58" i="2"/>
  <c r="N58" i="2"/>
  <c r="M58" i="2"/>
  <c r="L58" i="2"/>
  <c r="K58" i="2"/>
  <c r="J58" i="2"/>
  <c r="I58" i="2"/>
  <c r="H58" i="2"/>
  <c r="G58" i="2"/>
  <c r="F58" i="2"/>
  <c r="E58" i="2"/>
  <c r="BJ57" i="2"/>
  <c r="BH57" i="2"/>
  <c r="BF57" i="2"/>
  <c r="BD57" i="2"/>
  <c r="BB57" i="2"/>
  <c r="AZ57" i="2"/>
  <c r="AX57" i="2"/>
  <c r="AV57" i="2"/>
  <c r="AT57" i="2"/>
  <c r="AR57" i="2"/>
  <c r="AP57" i="2"/>
  <c r="AN57" i="2"/>
  <c r="AL57" i="2"/>
  <c r="AJ57" i="2"/>
  <c r="AH57" i="2"/>
  <c r="AF57" i="2"/>
  <c r="AD57" i="2"/>
  <c r="AB57" i="2"/>
  <c r="Z57" i="2"/>
  <c r="X57" i="2"/>
  <c r="V57" i="2"/>
  <c r="T57" i="2"/>
  <c r="BJ56" i="2"/>
  <c r="BH56" i="2"/>
  <c r="BF56" i="2"/>
  <c r="BD56" i="2"/>
  <c r="BB56" i="2"/>
  <c r="AZ56" i="2"/>
  <c r="AX56" i="2"/>
  <c r="AV56" i="2"/>
  <c r="AT56" i="2"/>
  <c r="AR56" i="2"/>
  <c r="AP56" i="2"/>
  <c r="AN56" i="2"/>
  <c r="AL56" i="2"/>
  <c r="AJ56" i="2"/>
  <c r="AH56" i="2"/>
  <c r="AF56" i="2"/>
  <c r="AD56" i="2"/>
  <c r="AB56" i="2"/>
  <c r="Z56" i="2"/>
  <c r="X56" i="2"/>
  <c r="V56" i="2"/>
  <c r="T56" i="2"/>
  <c r="BJ55" i="2"/>
  <c r="BH55" i="2"/>
  <c r="BF55" i="2"/>
  <c r="BD55" i="2"/>
  <c r="BB55" i="2"/>
  <c r="AZ55" i="2"/>
  <c r="AX55" i="2"/>
  <c r="AV55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T55" i="2"/>
  <c r="BJ54" i="2"/>
  <c r="BH54" i="2"/>
  <c r="BF54" i="2"/>
  <c r="BD54" i="2"/>
  <c r="BB54" i="2"/>
  <c r="AZ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T54" i="2"/>
  <c r="BJ53" i="2"/>
  <c r="BH53" i="2"/>
  <c r="BF53" i="2"/>
  <c r="BD53" i="2"/>
  <c r="BB53" i="2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T53" i="2"/>
  <c r="BJ52" i="2"/>
  <c r="BH52" i="2"/>
  <c r="BF52" i="2"/>
  <c r="BD52" i="2"/>
  <c r="BB52" i="2"/>
  <c r="AZ52" i="2"/>
  <c r="AX52" i="2"/>
  <c r="AV52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T52" i="2"/>
  <c r="BJ51" i="2"/>
  <c r="BH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T51" i="2"/>
  <c r="BJ50" i="2"/>
  <c r="BH50" i="2"/>
  <c r="BF50" i="2"/>
  <c r="BD50" i="2"/>
  <c r="BB50" i="2"/>
  <c r="AZ50" i="2"/>
  <c r="AX50" i="2"/>
  <c r="AV50" i="2"/>
  <c r="AT50" i="2"/>
  <c r="AR50" i="2"/>
  <c r="AP50" i="2"/>
  <c r="AN50" i="2"/>
  <c r="AL50" i="2"/>
  <c r="AJ50" i="2"/>
  <c r="AH50" i="2"/>
  <c r="AF50" i="2"/>
  <c r="AD50" i="2"/>
  <c r="AB50" i="2"/>
  <c r="Z50" i="2"/>
  <c r="X50" i="2"/>
  <c r="V50" i="2"/>
  <c r="T50" i="2"/>
  <c r="BJ49" i="2"/>
  <c r="BH49" i="2"/>
  <c r="BF49" i="2"/>
  <c r="BD49" i="2"/>
  <c r="BB49" i="2"/>
  <c r="AZ49" i="2"/>
  <c r="AX49" i="2"/>
  <c r="AV49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V49" i="2"/>
  <c r="T49" i="2"/>
  <c r="BJ48" i="2"/>
  <c r="BH48" i="2"/>
  <c r="BF48" i="2"/>
  <c r="BD48" i="2"/>
  <c r="BB48" i="2"/>
  <c r="AZ48" i="2"/>
  <c r="AX48" i="2"/>
  <c r="AV48" i="2"/>
  <c r="AT48" i="2"/>
  <c r="AR48" i="2"/>
  <c r="AP48" i="2"/>
  <c r="AN48" i="2"/>
  <c r="AL48" i="2"/>
  <c r="AJ48" i="2"/>
  <c r="AH48" i="2"/>
  <c r="AF48" i="2"/>
  <c r="AD48" i="2"/>
  <c r="AB48" i="2"/>
  <c r="Z48" i="2"/>
  <c r="X48" i="2"/>
  <c r="V48" i="2"/>
  <c r="T48" i="2"/>
  <c r="BJ47" i="2"/>
  <c r="BH47" i="2"/>
  <c r="BF47" i="2"/>
  <c r="BD47" i="2"/>
  <c r="BB47" i="2"/>
  <c r="AZ47" i="2"/>
  <c r="AX47" i="2"/>
  <c r="AV47" i="2"/>
  <c r="AT47" i="2"/>
  <c r="AR47" i="2"/>
  <c r="AP47" i="2"/>
  <c r="AN47" i="2"/>
  <c r="AL47" i="2"/>
  <c r="AJ47" i="2"/>
  <c r="AH47" i="2"/>
  <c r="AF47" i="2"/>
  <c r="AD47" i="2"/>
  <c r="AB47" i="2"/>
  <c r="Z47" i="2"/>
  <c r="X47" i="2"/>
  <c r="V47" i="2"/>
  <c r="T47" i="2"/>
  <c r="BJ45" i="2"/>
  <c r="D124" i="4" s="1"/>
  <c r="BH45" i="2"/>
  <c r="BF45" i="2"/>
  <c r="BD45" i="2"/>
  <c r="BB45" i="2"/>
  <c r="AZ45" i="2"/>
  <c r="AX45" i="2"/>
  <c r="K80" i="4" s="1"/>
  <c r="AV45" i="2"/>
  <c r="AT45" i="2"/>
  <c r="AR45" i="2"/>
  <c r="AP45" i="2"/>
  <c r="R66" i="4" s="1"/>
  <c r="AN45" i="2"/>
  <c r="AL45" i="2"/>
  <c r="AB52" i="4" s="1"/>
  <c r="AJ45" i="2"/>
  <c r="AH45" i="2"/>
  <c r="L38" i="4" s="1"/>
  <c r="AF45" i="2"/>
  <c r="K38" i="4" s="1"/>
  <c r="AD45" i="2"/>
  <c r="AB45" i="2"/>
  <c r="Z45" i="2"/>
  <c r="T45" i="2"/>
  <c r="F8" i="4" s="1"/>
  <c r="BI43" i="2"/>
  <c r="BJ43" i="2" s="1"/>
  <c r="D125" i="4" s="1"/>
  <c r="BG43" i="2"/>
  <c r="S110" i="4" s="1"/>
  <c r="BE43" i="2"/>
  <c r="BD43" i="2"/>
  <c r="K95" i="4" s="1"/>
  <c r="BC43" i="2"/>
  <c r="AC95" i="4" s="1"/>
  <c r="BA43" i="2"/>
  <c r="AZ43" i="2"/>
  <c r="AL81" i="4" s="1"/>
  <c r="AY43" i="2"/>
  <c r="AM81" i="4" s="1"/>
  <c r="AW43" i="2"/>
  <c r="AV43" i="2"/>
  <c r="AU43" i="2"/>
  <c r="S81" i="4" s="1"/>
  <c r="AS43" i="2"/>
  <c r="AR43" i="2"/>
  <c r="AB67" i="4" s="1"/>
  <c r="AQ43" i="2"/>
  <c r="AC67" i="4" s="1"/>
  <c r="AO43" i="2"/>
  <c r="AN43" i="2"/>
  <c r="L53" i="4" s="1"/>
  <c r="AM43" i="2"/>
  <c r="AM53" i="4" s="1"/>
  <c r="AK43" i="2"/>
  <c r="AJ43" i="2"/>
  <c r="AI43" i="2"/>
  <c r="S53" i="4" s="1"/>
  <c r="AG43" i="2"/>
  <c r="AH43" i="2" s="1"/>
  <c r="L39" i="4" s="1"/>
  <c r="AF43" i="2"/>
  <c r="K39" i="4" s="1"/>
  <c r="AE43" i="2"/>
  <c r="AC43" i="2"/>
  <c r="AB43" i="2"/>
  <c r="R24" i="4" s="1"/>
  <c r="AA43" i="2"/>
  <c r="S24" i="4" s="1"/>
  <c r="Y43" i="2"/>
  <c r="X43" i="2"/>
  <c r="W43" i="2"/>
  <c r="S9" i="4" s="1"/>
  <c r="U43" i="2"/>
  <c r="T43" i="2"/>
  <c r="F9" i="4" s="1"/>
  <c r="C125" i="4" s="1"/>
  <c r="S43" i="2"/>
  <c r="R43" i="2"/>
  <c r="BH43" i="2" s="1"/>
  <c r="Q43" i="2"/>
  <c r="O43" i="2"/>
  <c r="N43" i="2"/>
  <c r="M43" i="2"/>
  <c r="L43" i="2"/>
  <c r="K43" i="2"/>
  <c r="J43" i="2"/>
  <c r="I43" i="2"/>
  <c r="H43" i="2"/>
  <c r="G43" i="2"/>
  <c r="F43" i="2"/>
  <c r="E43" i="2"/>
  <c r="BJ42" i="2"/>
  <c r="BH42" i="2"/>
  <c r="BF42" i="2"/>
  <c r="BD42" i="2"/>
  <c r="BB42" i="2"/>
  <c r="AZ42" i="2"/>
  <c r="AX42" i="2"/>
  <c r="AV42" i="2"/>
  <c r="AT42" i="2"/>
  <c r="AR42" i="2"/>
  <c r="AP42" i="2"/>
  <c r="AN42" i="2"/>
  <c r="AL42" i="2"/>
  <c r="AJ42" i="2"/>
  <c r="AH42" i="2"/>
  <c r="AF42" i="2"/>
  <c r="AD42" i="2"/>
  <c r="AB42" i="2"/>
  <c r="Z42" i="2"/>
  <c r="X42" i="2"/>
  <c r="V42" i="2"/>
  <c r="T42" i="2"/>
  <c r="BJ41" i="2"/>
  <c r="BH41" i="2"/>
  <c r="BF41" i="2"/>
  <c r="BD41" i="2"/>
  <c r="BB41" i="2"/>
  <c r="AZ41" i="2"/>
  <c r="AX41" i="2"/>
  <c r="AV41" i="2"/>
  <c r="AT41" i="2"/>
  <c r="AR41" i="2"/>
  <c r="AP41" i="2"/>
  <c r="AN41" i="2"/>
  <c r="AL41" i="2"/>
  <c r="AJ41" i="2"/>
  <c r="AH41" i="2"/>
  <c r="AF41" i="2"/>
  <c r="AD41" i="2"/>
  <c r="AB41" i="2"/>
  <c r="Z41" i="2"/>
  <c r="X41" i="2"/>
  <c r="V41" i="2"/>
  <c r="T41" i="2"/>
  <c r="BJ40" i="2"/>
  <c r="BH40" i="2"/>
  <c r="BF40" i="2"/>
  <c r="BD40" i="2"/>
  <c r="BB40" i="2"/>
  <c r="AZ40" i="2"/>
  <c r="AX40" i="2"/>
  <c r="AV40" i="2"/>
  <c r="AT40" i="2"/>
  <c r="AR40" i="2"/>
  <c r="AP40" i="2"/>
  <c r="AN40" i="2"/>
  <c r="AL40" i="2"/>
  <c r="AJ40" i="2"/>
  <c r="AH40" i="2"/>
  <c r="AF40" i="2"/>
  <c r="AD40" i="2"/>
  <c r="AB40" i="2"/>
  <c r="Z40" i="2"/>
  <c r="X40" i="2"/>
  <c r="V40" i="2"/>
  <c r="T40" i="2"/>
  <c r="BJ39" i="2"/>
  <c r="BH39" i="2"/>
  <c r="BF39" i="2"/>
  <c r="BD39" i="2"/>
  <c r="BB39" i="2"/>
  <c r="AZ39" i="2"/>
  <c r="AX39" i="2"/>
  <c r="AV39" i="2"/>
  <c r="AT39" i="2"/>
  <c r="AR39" i="2"/>
  <c r="AP39" i="2"/>
  <c r="AN39" i="2"/>
  <c r="AL39" i="2"/>
  <c r="AJ39" i="2"/>
  <c r="AH39" i="2"/>
  <c r="AF39" i="2"/>
  <c r="AD39" i="2"/>
  <c r="AB39" i="2"/>
  <c r="Z39" i="2"/>
  <c r="X39" i="2"/>
  <c r="V39" i="2"/>
  <c r="T39" i="2"/>
  <c r="BJ38" i="2"/>
  <c r="BH38" i="2"/>
  <c r="BF38" i="2"/>
  <c r="BD38" i="2"/>
  <c r="BB38" i="2"/>
  <c r="AZ38" i="2"/>
  <c r="AX38" i="2"/>
  <c r="AV38" i="2"/>
  <c r="AT38" i="2"/>
  <c r="AR38" i="2"/>
  <c r="AP38" i="2"/>
  <c r="AN38" i="2"/>
  <c r="AL38" i="2"/>
  <c r="AJ38" i="2"/>
  <c r="AH38" i="2"/>
  <c r="AF38" i="2"/>
  <c r="AD38" i="2"/>
  <c r="AB38" i="2"/>
  <c r="Z38" i="2"/>
  <c r="X38" i="2"/>
  <c r="V38" i="2"/>
  <c r="T38" i="2"/>
  <c r="BJ37" i="2"/>
  <c r="BH37" i="2"/>
  <c r="BF37" i="2"/>
  <c r="BD37" i="2"/>
  <c r="BB37" i="2"/>
  <c r="AZ37" i="2"/>
  <c r="AX37" i="2"/>
  <c r="AV37" i="2"/>
  <c r="AT37" i="2"/>
  <c r="AR37" i="2"/>
  <c r="AP37" i="2"/>
  <c r="AN37" i="2"/>
  <c r="AL37" i="2"/>
  <c r="AJ37" i="2"/>
  <c r="AH37" i="2"/>
  <c r="AF37" i="2"/>
  <c r="AD37" i="2"/>
  <c r="AB37" i="2"/>
  <c r="Z37" i="2"/>
  <c r="X37" i="2"/>
  <c r="V37" i="2"/>
  <c r="T37" i="2"/>
  <c r="BJ36" i="2"/>
  <c r="BH36" i="2"/>
  <c r="BF36" i="2"/>
  <c r="BD36" i="2"/>
  <c r="BB36" i="2"/>
  <c r="AZ36" i="2"/>
  <c r="AX36" i="2"/>
  <c r="AV36" i="2"/>
  <c r="AT36" i="2"/>
  <c r="AR36" i="2"/>
  <c r="AP36" i="2"/>
  <c r="AN36" i="2"/>
  <c r="AL36" i="2"/>
  <c r="AJ36" i="2"/>
  <c r="AH36" i="2"/>
  <c r="AF36" i="2"/>
  <c r="AD36" i="2"/>
  <c r="AB36" i="2"/>
  <c r="Z36" i="2"/>
  <c r="X36" i="2"/>
  <c r="V36" i="2"/>
  <c r="T36" i="2"/>
  <c r="BJ35" i="2"/>
  <c r="BH35" i="2"/>
  <c r="BF35" i="2"/>
  <c r="BD35" i="2"/>
  <c r="BB35" i="2"/>
  <c r="AZ35" i="2"/>
  <c r="AX35" i="2"/>
  <c r="AV35" i="2"/>
  <c r="AT35" i="2"/>
  <c r="AR35" i="2"/>
  <c r="AP35" i="2"/>
  <c r="AN35" i="2"/>
  <c r="AL35" i="2"/>
  <c r="AJ35" i="2"/>
  <c r="AH35" i="2"/>
  <c r="AF35" i="2"/>
  <c r="AD35" i="2"/>
  <c r="AB35" i="2"/>
  <c r="Z35" i="2"/>
  <c r="X35" i="2"/>
  <c r="V35" i="2"/>
  <c r="T35" i="2"/>
  <c r="BJ34" i="2"/>
  <c r="BH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T34" i="2"/>
  <c r="BJ33" i="2"/>
  <c r="BH33" i="2"/>
  <c r="BF33" i="2"/>
  <c r="BD33" i="2"/>
  <c r="BB33" i="2"/>
  <c r="AZ33" i="2"/>
  <c r="AX33" i="2"/>
  <c r="AV33" i="2"/>
  <c r="AT33" i="2"/>
  <c r="AR33" i="2"/>
  <c r="AP33" i="2"/>
  <c r="AN33" i="2"/>
  <c r="AL33" i="2"/>
  <c r="AJ33" i="2"/>
  <c r="AH33" i="2"/>
  <c r="AF33" i="2"/>
  <c r="AD33" i="2"/>
  <c r="AB33" i="2"/>
  <c r="Z33" i="2"/>
  <c r="X33" i="2"/>
  <c r="V33" i="2"/>
  <c r="T33" i="2"/>
  <c r="BI31" i="2"/>
  <c r="BG31" i="2"/>
  <c r="S108" i="4" s="1"/>
  <c r="BE31" i="2"/>
  <c r="BC31" i="2"/>
  <c r="AC93" i="4" s="1"/>
  <c r="BA31" i="2"/>
  <c r="S93" i="4" s="1"/>
  <c r="AY31" i="2"/>
  <c r="AM79" i="4" s="1"/>
  <c r="AW31" i="2"/>
  <c r="AC79" i="4" s="1"/>
  <c r="AI79" i="4" s="1"/>
  <c r="AU31" i="2"/>
  <c r="S79" i="4" s="1"/>
  <c r="AS31" i="2"/>
  <c r="AM65" i="4" s="1"/>
  <c r="AQ31" i="2"/>
  <c r="AC65" i="4" s="1"/>
  <c r="AO31" i="2"/>
  <c r="S65" i="4" s="1"/>
  <c r="W65" i="4" s="1"/>
  <c r="AM31" i="2"/>
  <c r="AM51" i="4" s="1"/>
  <c r="AI31" i="2"/>
  <c r="S51" i="4" s="1"/>
  <c r="AG31" i="2"/>
  <c r="AE31" i="2"/>
  <c r="AC31" i="2"/>
  <c r="S37" i="4" s="1"/>
  <c r="AA31" i="2"/>
  <c r="S22" i="4" s="1"/>
  <c r="Y31" i="2"/>
  <c r="AC22" i="4" s="1"/>
  <c r="AI22" i="4" s="1"/>
  <c r="W31" i="2"/>
  <c r="S7" i="4" s="1"/>
  <c r="W7" i="4" s="1"/>
  <c r="U31" i="2"/>
  <c r="AC7" i="4" s="1"/>
  <c r="AG7" i="4" s="1"/>
  <c r="S31" i="2"/>
  <c r="R31" i="2"/>
  <c r="AX31" i="2" s="1"/>
  <c r="Q31" i="2"/>
  <c r="O31" i="2"/>
  <c r="N31" i="2"/>
  <c r="M31" i="2"/>
  <c r="L31" i="2"/>
  <c r="K31" i="2"/>
  <c r="J31" i="2"/>
  <c r="I31" i="2"/>
  <c r="H31" i="2"/>
  <c r="G31" i="2"/>
  <c r="F31" i="2"/>
  <c r="E31" i="2"/>
  <c r="BJ30" i="2"/>
  <c r="BH30" i="2"/>
  <c r="BF30" i="2"/>
  <c r="BD30" i="2"/>
  <c r="BB30" i="2"/>
  <c r="AZ30" i="2"/>
  <c r="AX30" i="2"/>
  <c r="AV30" i="2"/>
  <c r="AT30" i="2"/>
  <c r="AR30" i="2"/>
  <c r="AP30" i="2"/>
  <c r="AN30" i="2"/>
  <c r="AL30" i="2"/>
  <c r="AJ30" i="2"/>
  <c r="AH30" i="2"/>
  <c r="AF30" i="2"/>
  <c r="AD30" i="2"/>
  <c r="AB30" i="2"/>
  <c r="Z30" i="2"/>
  <c r="X30" i="2"/>
  <c r="V30" i="2"/>
  <c r="T30" i="2"/>
  <c r="BJ29" i="2"/>
  <c r="BH29" i="2"/>
  <c r="BF29" i="2"/>
  <c r="BD29" i="2"/>
  <c r="BB29" i="2"/>
  <c r="AZ29" i="2"/>
  <c r="AX29" i="2"/>
  <c r="AV29" i="2"/>
  <c r="AT29" i="2"/>
  <c r="AR29" i="2"/>
  <c r="AP29" i="2"/>
  <c r="AN29" i="2"/>
  <c r="AK29" i="2"/>
  <c r="AJ29" i="2"/>
  <c r="AH29" i="2"/>
  <c r="AF29" i="2"/>
  <c r="AD29" i="2"/>
  <c r="AB29" i="2"/>
  <c r="Z29" i="2"/>
  <c r="X29" i="2"/>
  <c r="V29" i="2"/>
  <c r="T29" i="2"/>
  <c r="BJ28" i="2"/>
  <c r="BH28" i="2"/>
  <c r="BF28" i="2"/>
  <c r="BD28" i="2"/>
  <c r="BB28" i="2"/>
  <c r="AZ28" i="2"/>
  <c r="AX28" i="2"/>
  <c r="AV28" i="2"/>
  <c r="AT28" i="2"/>
  <c r="AR28" i="2"/>
  <c r="AP28" i="2"/>
  <c r="AN28" i="2"/>
  <c r="AL28" i="2"/>
  <c r="AJ28" i="2"/>
  <c r="AH28" i="2"/>
  <c r="AF28" i="2"/>
  <c r="AD28" i="2"/>
  <c r="AB28" i="2"/>
  <c r="Z28" i="2"/>
  <c r="X28" i="2"/>
  <c r="V28" i="2"/>
  <c r="T28" i="2"/>
  <c r="BJ27" i="2"/>
  <c r="BH27" i="2"/>
  <c r="BF27" i="2"/>
  <c r="BD27" i="2"/>
  <c r="BB27" i="2"/>
  <c r="AZ27" i="2"/>
  <c r="AX27" i="2"/>
  <c r="AV27" i="2"/>
  <c r="AT27" i="2"/>
  <c r="AR27" i="2"/>
  <c r="AP27" i="2"/>
  <c r="AN27" i="2"/>
  <c r="AL27" i="2"/>
  <c r="AJ27" i="2"/>
  <c r="AH27" i="2"/>
  <c r="AF27" i="2"/>
  <c r="AD27" i="2"/>
  <c r="AB27" i="2"/>
  <c r="Z27" i="2"/>
  <c r="X27" i="2"/>
  <c r="V27" i="2"/>
  <c r="T27" i="2"/>
  <c r="BJ26" i="2"/>
  <c r="BH26" i="2"/>
  <c r="BF26" i="2"/>
  <c r="BD26" i="2"/>
  <c r="BB26" i="2"/>
  <c r="AZ26" i="2"/>
  <c r="AX26" i="2"/>
  <c r="AV26" i="2"/>
  <c r="AT26" i="2"/>
  <c r="AR26" i="2"/>
  <c r="AP26" i="2"/>
  <c r="AN26" i="2"/>
  <c r="AL26" i="2"/>
  <c r="AJ26" i="2"/>
  <c r="AH26" i="2"/>
  <c r="AF26" i="2"/>
  <c r="AD26" i="2"/>
  <c r="AB26" i="2"/>
  <c r="Z26" i="2"/>
  <c r="X26" i="2"/>
  <c r="V26" i="2"/>
  <c r="T26" i="2"/>
  <c r="BJ25" i="2"/>
  <c r="BH25" i="2"/>
  <c r="BF25" i="2"/>
  <c r="BD25" i="2"/>
  <c r="BB25" i="2"/>
  <c r="AZ25" i="2"/>
  <c r="AX25" i="2"/>
  <c r="AV25" i="2"/>
  <c r="AT25" i="2"/>
  <c r="AR25" i="2"/>
  <c r="AP25" i="2"/>
  <c r="AN25" i="2"/>
  <c r="AL25" i="2"/>
  <c r="AJ25" i="2"/>
  <c r="AH25" i="2"/>
  <c r="AF25" i="2"/>
  <c r="AD25" i="2"/>
  <c r="AB25" i="2"/>
  <c r="Z25" i="2"/>
  <c r="X25" i="2"/>
  <c r="V25" i="2"/>
  <c r="T25" i="2"/>
  <c r="BJ24" i="2"/>
  <c r="BH24" i="2"/>
  <c r="BF24" i="2"/>
  <c r="BD24" i="2"/>
  <c r="BB24" i="2"/>
  <c r="AZ24" i="2"/>
  <c r="AX24" i="2"/>
  <c r="AV24" i="2"/>
  <c r="AT24" i="2"/>
  <c r="AR24" i="2"/>
  <c r="AP24" i="2"/>
  <c r="AN24" i="2"/>
  <c r="AL24" i="2"/>
  <c r="AJ24" i="2"/>
  <c r="AH24" i="2"/>
  <c r="AF24" i="2"/>
  <c r="AD24" i="2"/>
  <c r="AB24" i="2"/>
  <c r="Z24" i="2"/>
  <c r="X24" i="2"/>
  <c r="V24" i="2"/>
  <c r="T24" i="2"/>
  <c r="BJ23" i="2"/>
  <c r="BH23" i="2"/>
  <c r="BF23" i="2"/>
  <c r="BD23" i="2"/>
  <c r="BB23" i="2"/>
  <c r="AZ23" i="2"/>
  <c r="AX23" i="2"/>
  <c r="AV23" i="2"/>
  <c r="AT23" i="2"/>
  <c r="AR23" i="2"/>
  <c r="AP23" i="2"/>
  <c r="AN23" i="2"/>
  <c r="AL23" i="2"/>
  <c r="AJ23" i="2"/>
  <c r="AH23" i="2"/>
  <c r="AF23" i="2"/>
  <c r="AD23" i="2"/>
  <c r="AB23" i="2"/>
  <c r="Z23" i="2"/>
  <c r="X23" i="2"/>
  <c r="V23" i="2"/>
  <c r="T23" i="2"/>
  <c r="BJ22" i="2"/>
  <c r="BH22" i="2"/>
  <c r="BF22" i="2"/>
  <c r="BD22" i="2"/>
  <c r="BB22" i="2"/>
  <c r="AZ22" i="2"/>
  <c r="AX22" i="2"/>
  <c r="AV22" i="2"/>
  <c r="AT22" i="2"/>
  <c r="AR22" i="2"/>
  <c r="AP22" i="2"/>
  <c r="AN22" i="2"/>
  <c r="AL22" i="2"/>
  <c r="AJ22" i="2"/>
  <c r="AH22" i="2"/>
  <c r="AF22" i="2"/>
  <c r="AD22" i="2"/>
  <c r="AB22" i="2"/>
  <c r="Z22" i="2"/>
  <c r="X22" i="2"/>
  <c r="V22" i="2"/>
  <c r="T22" i="2"/>
  <c r="BJ21" i="2"/>
  <c r="BH21" i="2"/>
  <c r="BF21" i="2"/>
  <c r="BD21" i="2"/>
  <c r="BB21" i="2"/>
  <c r="AZ21" i="2"/>
  <c r="AX21" i="2"/>
  <c r="AV21" i="2"/>
  <c r="AT21" i="2"/>
  <c r="AR21" i="2"/>
  <c r="AP21" i="2"/>
  <c r="AN21" i="2"/>
  <c r="AL21" i="2"/>
  <c r="AJ21" i="2"/>
  <c r="AH21" i="2"/>
  <c r="AF21" i="2"/>
  <c r="AD21" i="2"/>
  <c r="AB21" i="2"/>
  <c r="Z21" i="2"/>
  <c r="X21" i="2"/>
  <c r="V21" i="2"/>
  <c r="T21" i="2"/>
  <c r="BJ20" i="2"/>
  <c r="BH20" i="2"/>
  <c r="BF20" i="2"/>
  <c r="BD20" i="2"/>
  <c r="BB20" i="2"/>
  <c r="AZ20" i="2"/>
  <c r="AX20" i="2"/>
  <c r="AV20" i="2"/>
  <c r="AT20" i="2"/>
  <c r="AR20" i="2"/>
  <c r="AP20" i="2"/>
  <c r="AN20" i="2"/>
  <c r="AL20" i="2"/>
  <c r="AJ20" i="2"/>
  <c r="AH20" i="2"/>
  <c r="AF20" i="2"/>
  <c r="AD20" i="2"/>
  <c r="AB20" i="2"/>
  <c r="Z20" i="2"/>
  <c r="X20" i="2"/>
  <c r="V20" i="2"/>
  <c r="T20" i="2"/>
  <c r="BJ18" i="2"/>
  <c r="D122" i="4" s="1"/>
  <c r="BH18" i="2"/>
  <c r="BF18" i="2"/>
  <c r="L92" i="4" s="1"/>
  <c r="BD18" i="2"/>
  <c r="AB92" i="4" s="1"/>
  <c r="BB18" i="2"/>
  <c r="AZ18" i="2"/>
  <c r="AX18" i="2"/>
  <c r="AV18" i="2"/>
  <c r="AT18" i="2"/>
  <c r="AR18" i="2"/>
  <c r="AB64" i="4" s="1"/>
  <c r="AP18" i="2"/>
  <c r="AN18" i="2"/>
  <c r="AL50" i="4" s="1"/>
  <c r="AL18" i="2"/>
  <c r="AJ18" i="2"/>
  <c r="AH18" i="2"/>
  <c r="L36" i="4" s="1"/>
  <c r="AF18" i="2"/>
  <c r="K36" i="4" s="1"/>
  <c r="AD18" i="2"/>
  <c r="AB18" i="2"/>
  <c r="B21" i="4" s="1"/>
  <c r="D36" i="4" s="1"/>
  <c r="Z18" i="2"/>
  <c r="AB21" i="4" s="1"/>
  <c r="X18" i="2"/>
  <c r="B6" i="4" s="1"/>
  <c r="F21" i="4" s="1"/>
  <c r="V18" i="2"/>
  <c r="T18" i="2"/>
  <c r="F6" i="4" s="1"/>
  <c r="C122" i="4" s="1"/>
  <c r="BI16" i="2"/>
  <c r="BJ16" i="2" s="1"/>
  <c r="D121" i="4" s="1"/>
  <c r="BH16" i="2"/>
  <c r="BG16" i="2"/>
  <c r="S106" i="4" s="1"/>
  <c r="BE16" i="2"/>
  <c r="AM91" i="4" s="1"/>
  <c r="BD16" i="2"/>
  <c r="BC16" i="2"/>
  <c r="AC91" i="4" s="1"/>
  <c r="BA16" i="2"/>
  <c r="S91" i="4" s="1"/>
  <c r="AZ16" i="2"/>
  <c r="AY16" i="2"/>
  <c r="AM77" i="4" s="1"/>
  <c r="AW16" i="2"/>
  <c r="AC77" i="4" s="1"/>
  <c r="AV16" i="2"/>
  <c r="AU16" i="2"/>
  <c r="S77" i="4" s="1"/>
  <c r="AS16" i="2"/>
  <c r="AM63" i="4" s="1"/>
  <c r="AS63" i="4" s="1"/>
  <c r="AR16" i="2"/>
  <c r="AP16" i="2"/>
  <c r="AO16" i="2"/>
  <c r="S63" i="4" s="1"/>
  <c r="AM16" i="2"/>
  <c r="AL16" i="2"/>
  <c r="AK16" i="2"/>
  <c r="AC49" i="4" s="1"/>
  <c r="AI16" i="2"/>
  <c r="AH16" i="2"/>
  <c r="L35" i="4" s="1"/>
  <c r="AG16" i="2"/>
  <c r="AF16" i="2"/>
  <c r="K35" i="4" s="1"/>
  <c r="AD16" i="2"/>
  <c r="AB16" i="2"/>
  <c r="Y16" i="2"/>
  <c r="Z16" i="2" s="1"/>
  <c r="X16" i="2"/>
  <c r="V16" i="2"/>
  <c r="AB5" i="4" s="1"/>
  <c r="U16" i="2"/>
  <c r="AC5" i="4" s="1"/>
  <c r="S16" i="2"/>
  <c r="T16" i="2" s="1"/>
  <c r="F5" i="4" s="1"/>
  <c r="C121" i="4" s="1"/>
  <c r="BI14" i="2"/>
  <c r="BG14" i="2"/>
  <c r="BE14" i="2"/>
  <c r="AM90" i="4" s="1"/>
  <c r="BC14" i="2"/>
  <c r="BA14" i="2"/>
  <c r="S90" i="4" s="1"/>
  <c r="AY14" i="2"/>
  <c r="AW14" i="2"/>
  <c r="AC76" i="4" s="1"/>
  <c r="AG76" i="4" s="1"/>
  <c r="AU14" i="2"/>
  <c r="AS14" i="2"/>
  <c r="AM62" i="4" s="1"/>
  <c r="AQ62" i="4" s="1"/>
  <c r="AQ14" i="2"/>
  <c r="AO14" i="2"/>
  <c r="S62" i="4" s="1"/>
  <c r="AM14" i="2"/>
  <c r="AK14" i="2"/>
  <c r="AC48" i="4" s="1"/>
  <c r="AI14" i="2"/>
  <c r="AG14" i="2"/>
  <c r="AH14" i="2" s="1"/>
  <c r="L34" i="4" s="1"/>
  <c r="AE14" i="2"/>
  <c r="AF14" i="2" s="1"/>
  <c r="K34" i="4" s="1"/>
  <c r="AC14" i="2"/>
  <c r="S34" i="4" s="1"/>
  <c r="AA14" i="2"/>
  <c r="Y14" i="2"/>
  <c r="AC19" i="4" s="1"/>
  <c r="AG19" i="4" s="1"/>
  <c r="W14" i="2"/>
  <c r="U14" i="2"/>
  <c r="AC4" i="4" s="1"/>
  <c r="S14" i="2"/>
  <c r="T14" i="2" s="1"/>
  <c r="F4" i="4" s="1"/>
  <c r="C120" i="4" s="1"/>
  <c r="R14" i="2"/>
  <c r="BJ14" i="2" s="1"/>
  <c r="D120" i="4" s="1"/>
  <c r="Q14" i="2"/>
  <c r="O14" i="2"/>
  <c r="N14" i="2"/>
  <c r="M14" i="2"/>
  <c r="L14" i="2"/>
  <c r="K14" i="2"/>
  <c r="J14" i="2"/>
  <c r="I14" i="2"/>
  <c r="H14" i="2"/>
  <c r="G14" i="2"/>
  <c r="F14" i="2"/>
  <c r="E14" i="2"/>
  <c r="BJ13" i="2"/>
  <c r="BH13" i="2"/>
  <c r="BF13" i="2"/>
  <c r="BD13" i="2"/>
  <c r="BB13" i="2"/>
  <c r="AZ13" i="2"/>
  <c r="AX13" i="2"/>
  <c r="AV13" i="2"/>
  <c r="AT13" i="2"/>
  <c r="AR13" i="2"/>
  <c r="AP13" i="2"/>
  <c r="AN13" i="2"/>
  <c r="AL13" i="2"/>
  <c r="AJ13" i="2"/>
  <c r="AH13" i="2"/>
  <c r="AF13" i="2"/>
  <c r="AD13" i="2"/>
  <c r="AB13" i="2"/>
  <c r="Z13" i="2"/>
  <c r="X13" i="2"/>
  <c r="V13" i="2"/>
  <c r="T13" i="2"/>
  <c r="BJ12" i="2"/>
  <c r="BH12" i="2"/>
  <c r="BF12" i="2"/>
  <c r="BD12" i="2"/>
  <c r="BB12" i="2"/>
  <c r="AZ12" i="2"/>
  <c r="AX12" i="2"/>
  <c r="AV12" i="2"/>
  <c r="AT12" i="2"/>
  <c r="AR12" i="2"/>
  <c r="AP12" i="2"/>
  <c r="AN12" i="2"/>
  <c r="AL12" i="2"/>
  <c r="AJ12" i="2"/>
  <c r="AH12" i="2"/>
  <c r="AF12" i="2"/>
  <c r="AD12" i="2"/>
  <c r="AB12" i="2"/>
  <c r="Z12" i="2"/>
  <c r="X12" i="2"/>
  <c r="V12" i="2"/>
  <c r="T12" i="2"/>
  <c r="BJ11" i="2"/>
  <c r="BH11" i="2"/>
  <c r="BF11" i="2"/>
  <c r="BD11" i="2"/>
  <c r="BB11" i="2"/>
  <c r="AZ11" i="2"/>
  <c r="AX11" i="2"/>
  <c r="AV11" i="2"/>
  <c r="AT11" i="2"/>
  <c r="AR11" i="2"/>
  <c r="AP11" i="2"/>
  <c r="AN11" i="2"/>
  <c r="AL11" i="2"/>
  <c r="AJ11" i="2"/>
  <c r="AH11" i="2"/>
  <c r="AF11" i="2"/>
  <c r="AD11" i="2"/>
  <c r="AB11" i="2"/>
  <c r="Z11" i="2"/>
  <c r="X11" i="2"/>
  <c r="V11" i="2"/>
  <c r="T11" i="2"/>
  <c r="BJ10" i="2"/>
  <c r="BH10" i="2"/>
  <c r="BF10" i="2"/>
  <c r="BD10" i="2"/>
  <c r="BB10" i="2"/>
  <c r="AZ10" i="2"/>
  <c r="AX10" i="2"/>
  <c r="AV10" i="2"/>
  <c r="AT10" i="2"/>
  <c r="AR10" i="2"/>
  <c r="AP10" i="2"/>
  <c r="AN10" i="2"/>
  <c r="AL10" i="2"/>
  <c r="AJ10" i="2"/>
  <c r="AH10" i="2"/>
  <c r="AF10" i="2"/>
  <c r="AD10" i="2"/>
  <c r="AB10" i="2"/>
  <c r="Z10" i="2"/>
  <c r="X10" i="2"/>
  <c r="V10" i="2"/>
  <c r="T10" i="2"/>
  <c r="BJ9" i="2"/>
  <c r="BH9" i="2"/>
  <c r="BF9" i="2"/>
  <c r="BD9" i="2"/>
  <c r="BB9" i="2"/>
  <c r="AZ9" i="2"/>
  <c r="AX9" i="2"/>
  <c r="AV9" i="2"/>
  <c r="AT9" i="2"/>
  <c r="AR9" i="2"/>
  <c r="AP9" i="2"/>
  <c r="AN9" i="2"/>
  <c r="AL9" i="2"/>
  <c r="AJ9" i="2"/>
  <c r="AH9" i="2"/>
  <c r="AF9" i="2"/>
  <c r="AD9" i="2"/>
  <c r="AB9" i="2"/>
  <c r="Z9" i="2"/>
  <c r="X9" i="2"/>
  <c r="V9" i="2"/>
  <c r="T9" i="2"/>
  <c r="BJ8" i="2"/>
  <c r="BH8" i="2"/>
  <c r="BF8" i="2"/>
  <c r="BD8" i="2"/>
  <c r="BB8" i="2"/>
  <c r="AZ8" i="2"/>
  <c r="AX8" i="2"/>
  <c r="AV8" i="2"/>
  <c r="AT8" i="2"/>
  <c r="AR8" i="2"/>
  <c r="AP8" i="2"/>
  <c r="AN8" i="2"/>
  <c r="AL8" i="2"/>
  <c r="AJ8" i="2"/>
  <c r="AH8" i="2"/>
  <c r="AF8" i="2"/>
  <c r="AD8" i="2"/>
  <c r="AB8" i="2"/>
  <c r="Z8" i="2"/>
  <c r="X8" i="2"/>
  <c r="V8" i="2"/>
  <c r="T8" i="2"/>
  <c r="BJ7" i="2"/>
  <c r="BH7" i="2"/>
  <c r="BF7" i="2"/>
  <c r="BD7" i="2"/>
  <c r="BB7" i="2"/>
  <c r="AZ7" i="2"/>
  <c r="AX7" i="2"/>
  <c r="AV7" i="2"/>
  <c r="AT7" i="2"/>
  <c r="AR7" i="2"/>
  <c r="AP7" i="2"/>
  <c r="AN7" i="2"/>
  <c r="AL7" i="2"/>
  <c r="AJ7" i="2"/>
  <c r="AH7" i="2"/>
  <c r="AF7" i="2"/>
  <c r="AD7" i="2"/>
  <c r="AB7" i="2"/>
  <c r="Z7" i="2"/>
  <c r="X7" i="2"/>
  <c r="V7" i="2"/>
  <c r="T7" i="2"/>
  <c r="BJ6" i="2"/>
  <c r="BH6" i="2"/>
  <c r="BF6" i="2"/>
  <c r="BD6" i="2"/>
  <c r="BB6" i="2"/>
  <c r="AZ6" i="2"/>
  <c r="AX6" i="2"/>
  <c r="AV6" i="2"/>
  <c r="AT6" i="2"/>
  <c r="AR6" i="2"/>
  <c r="AP6" i="2"/>
  <c r="AN6" i="2"/>
  <c r="AL6" i="2"/>
  <c r="AJ6" i="2"/>
  <c r="AH6" i="2"/>
  <c r="AF6" i="2"/>
  <c r="AD6" i="2"/>
  <c r="AB6" i="2"/>
  <c r="Z6" i="2"/>
  <c r="X6" i="2"/>
  <c r="V6" i="2"/>
  <c r="T6" i="2"/>
  <c r="BJ5" i="2"/>
  <c r="BH5" i="2"/>
  <c r="BF5" i="2"/>
  <c r="BD5" i="2"/>
  <c r="BB5" i="2"/>
  <c r="AZ5" i="2"/>
  <c r="AX5" i="2"/>
  <c r="AV5" i="2"/>
  <c r="AT5" i="2"/>
  <c r="AR5" i="2"/>
  <c r="AP5" i="2"/>
  <c r="AN5" i="2"/>
  <c r="AL5" i="2"/>
  <c r="AJ5" i="2"/>
  <c r="AH5" i="2"/>
  <c r="AF5" i="2"/>
  <c r="AD5" i="2"/>
  <c r="AB5" i="2"/>
  <c r="Z5" i="2"/>
  <c r="X5" i="2"/>
  <c r="V5" i="2"/>
  <c r="T5" i="2"/>
  <c r="BJ4" i="2"/>
  <c r="BH4" i="2"/>
  <c r="BF4" i="2"/>
  <c r="BD4" i="2"/>
  <c r="BB4" i="2"/>
  <c r="AZ4" i="2"/>
  <c r="AX4" i="2"/>
  <c r="AV4" i="2"/>
  <c r="AT4" i="2"/>
  <c r="AR4" i="2"/>
  <c r="AP4" i="2"/>
  <c r="AN4" i="2"/>
  <c r="AL4" i="2"/>
  <c r="AJ4" i="2"/>
  <c r="AH4" i="2"/>
  <c r="AF4" i="2"/>
  <c r="AD4" i="2"/>
  <c r="AB4" i="2"/>
  <c r="Z4" i="2"/>
  <c r="X4" i="2"/>
  <c r="V4" i="2"/>
  <c r="T4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X3" i="2"/>
  <c r="V3" i="2"/>
  <c r="T3" i="2"/>
  <c r="BJ2" i="2"/>
  <c r="BH2" i="2"/>
  <c r="BF2" i="2"/>
  <c r="BD2" i="2"/>
  <c r="BB2" i="2"/>
  <c r="AZ2" i="2"/>
  <c r="AX2" i="2"/>
  <c r="AV2" i="2"/>
  <c r="AT2" i="2"/>
  <c r="AR2" i="2"/>
  <c r="AP2" i="2"/>
  <c r="AN2" i="2"/>
  <c r="AL2" i="2"/>
  <c r="AJ2" i="2"/>
  <c r="AH2" i="2"/>
  <c r="AF2" i="2"/>
  <c r="AD2" i="2"/>
  <c r="AB2" i="2"/>
  <c r="Z2" i="2"/>
  <c r="X2" i="2"/>
  <c r="V2" i="2"/>
  <c r="T2" i="2"/>
  <c r="G24" i="3" l="1"/>
  <c r="F24" i="3"/>
  <c r="BI60" i="2"/>
  <c r="BI61" i="2" s="1"/>
  <c r="K79" i="4"/>
  <c r="AB79" i="4"/>
  <c r="S105" i="4"/>
  <c r="BH14" i="2"/>
  <c r="W63" i="4"/>
  <c r="AI63" i="4"/>
  <c r="AT31" i="2"/>
  <c r="AC9" i="4"/>
  <c r="V43" i="2"/>
  <c r="R109" i="4"/>
  <c r="B109" i="4"/>
  <c r="F124" i="4" s="1"/>
  <c r="E60" i="2"/>
  <c r="R60" i="2"/>
  <c r="B10" i="3" s="1"/>
  <c r="S71" i="4"/>
  <c r="AP73" i="2"/>
  <c r="AU76" i="2"/>
  <c r="BF66" i="2"/>
  <c r="AX66" i="2"/>
  <c r="BD66" i="2"/>
  <c r="BB66" i="2"/>
  <c r="S57" i="4"/>
  <c r="BI75" i="2"/>
  <c r="BA75" i="2"/>
  <c r="AS75" i="2"/>
  <c r="AK75" i="2"/>
  <c r="BG75" i="2"/>
  <c r="AY75" i="2"/>
  <c r="AQ75" i="2"/>
  <c r="AI75" i="2"/>
  <c r="BE75" i="2"/>
  <c r="AW75" i="2"/>
  <c r="AO75" i="2"/>
  <c r="AJ73" i="2"/>
  <c r="AM85" i="4"/>
  <c r="AZ73" i="2"/>
  <c r="AU75" i="2"/>
  <c r="AG48" i="4"/>
  <c r="R5" i="4"/>
  <c r="B5" i="4"/>
  <c r="F20" i="4" s="1"/>
  <c r="R77" i="4"/>
  <c r="B77" i="4"/>
  <c r="D91" i="4" s="1"/>
  <c r="AB6" i="4"/>
  <c r="D6" i="4"/>
  <c r="R36" i="4"/>
  <c r="B36" i="4"/>
  <c r="D50" i="4" s="1"/>
  <c r="K50" i="4"/>
  <c r="AB50" i="4"/>
  <c r="L64" i="4"/>
  <c r="AL64" i="4"/>
  <c r="R92" i="4"/>
  <c r="B92" i="4"/>
  <c r="D107" i="4" s="1"/>
  <c r="AK31" i="2"/>
  <c r="AL29" i="2"/>
  <c r="T31" i="2"/>
  <c r="F7" i="4" s="1"/>
  <c r="C123" i="4" s="1"/>
  <c r="AD31" i="2"/>
  <c r="AP31" i="2"/>
  <c r="BF31" i="2"/>
  <c r="B110" i="4"/>
  <c r="F125" i="4" s="1"/>
  <c r="R110" i="4"/>
  <c r="Y9" i="4"/>
  <c r="W9" i="4"/>
  <c r="AC81" i="4"/>
  <c r="AX43" i="2"/>
  <c r="F60" i="2"/>
  <c r="J60" i="2"/>
  <c r="N60" i="2"/>
  <c r="S60" i="2"/>
  <c r="AD58" i="2"/>
  <c r="AT58" i="2"/>
  <c r="BJ58" i="2"/>
  <c r="D126" i="4" s="1"/>
  <c r="S99" i="4"/>
  <c r="BG76" i="2"/>
  <c r="BB73" i="2"/>
  <c r="AJ66" i="2"/>
  <c r="AT66" i="2"/>
  <c r="AM57" i="4"/>
  <c r="AN73" i="2"/>
  <c r="AC99" i="4"/>
  <c r="K100" i="4"/>
  <c r="BD73" i="2"/>
  <c r="BC75" i="2"/>
  <c r="S19" i="4"/>
  <c r="AB14" i="2"/>
  <c r="AC62" i="4"/>
  <c r="AR14" i="2"/>
  <c r="S49" i="4"/>
  <c r="AJ16" i="2"/>
  <c r="AH31" i="2"/>
  <c r="L37" i="4" s="1"/>
  <c r="AC53" i="4"/>
  <c r="AL43" i="2"/>
  <c r="R52" i="4"/>
  <c r="AH52" i="4" s="1"/>
  <c r="B52" i="4"/>
  <c r="D66" i="4" s="1"/>
  <c r="K66" i="4"/>
  <c r="AB66" i="4"/>
  <c r="I60" i="2"/>
  <c r="M60" i="2"/>
  <c r="Y10" i="4"/>
  <c r="W10" i="4"/>
  <c r="AH58" i="2"/>
  <c r="L40" i="4" s="1"/>
  <c r="AX58" i="2"/>
  <c r="AM99" i="4"/>
  <c r="BF73" i="2"/>
  <c r="AN66" i="2"/>
  <c r="BH66" i="2"/>
  <c r="S4" i="4"/>
  <c r="X14" i="2"/>
  <c r="AM48" i="4"/>
  <c r="AN14" i="2"/>
  <c r="S76" i="4"/>
  <c r="AV14" i="2"/>
  <c r="AC90" i="4"/>
  <c r="BD14" i="2"/>
  <c r="AB20" i="4"/>
  <c r="D20" i="4"/>
  <c r="AB63" i="4"/>
  <c r="K63" i="4"/>
  <c r="B106" i="4"/>
  <c r="F121" i="4" s="1"/>
  <c r="R106" i="4"/>
  <c r="Z31" i="2"/>
  <c r="AF31" i="2"/>
  <c r="K37" i="4" s="1"/>
  <c r="BB31" i="2"/>
  <c r="S39" i="4"/>
  <c r="AD43" i="2"/>
  <c r="AM67" i="4"/>
  <c r="AT43" i="2"/>
  <c r="C124" i="4"/>
  <c r="AH8" i="4"/>
  <c r="U60" i="2"/>
  <c r="Z58" i="2"/>
  <c r="AE60" i="2"/>
  <c r="AP58" i="2"/>
  <c r="AU60" i="2"/>
  <c r="BF58" i="2"/>
  <c r="AC57" i="4"/>
  <c r="AL73" i="2"/>
  <c r="AC85" i="4"/>
  <c r="AX73" i="2"/>
  <c r="AP66" i="2"/>
  <c r="AV66" i="2"/>
  <c r="AC71" i="4"/>
  <c r="AR73" i="2"/>
  <c r="S114" i="4"/>
  <c r="BH73" i="2"/>
  <c r="AO76" i="2"/>
  <c r="S48" i="4"/>
  <c r="AI48" i="4" s="1"/>
  <c r="AJ14" i="2"/>
  <c r="AM76" i="4"/>
  <c r="AZ14" i="2"/>
  <c r="R35" i="4"/>
  <c r="B35" i="4"/>
  <c r="D49" i="4" s="1"/>
  <c r="AL77" i="4"/>
  <c r="L77" i="4"/>
  <c r="BJ31" i="2"/>
  <c r="D123" i="4" s="1"/>
  <c r="S95" i="4"/>
  <c r="BB43" i="2"/>
  <c r="R23" i="4"/>
  <c r="B23" i="4"/>
  <c r="D38" i="4" s="1"/>
  <c r="AL80" i="4"/>
  <c r="L80" i="4"/>
  <c r="AI5" i="4"/>
  <c r="AG5" i="4"/>
  <c r="AM49" i="4"/>
  <c r="AN16" i="2"/>
  <c r="AB91" i="4"/>
  <c r="K91" i="4"/>
  <c r="AF21" i="4"/>
  <c r="V31" i="2"/>
  <c r="AC24" i="4"/>
  <c r="Z43" i="2"/>
  <c r="S67" i="4"/>
  <c r="AP43" i="2"/>
  <c r="AM95" i="4"/>
  <c r="BF43" i="2"/>
  <c r="H60" i="2"/>
  <c r="L60" i="2"/>
  <c r="Q60" i="2"/>
  <c r="V58" i="2"/>
  <c r="AG61" i="2"/>
  <c r="AH60" i="2"/>
  <c r="AL58" i="2"/>
  <c r="BB58" i="2"/>
  <c r="AM71" i="4"/>
  <c r="AT73" i="2"/>
  <c r="AL66" i="2"/>
  <c r="AR66" i="2"/>
  <c r="AZ66" i="2"/>
  <c r="R43" i="4"/>
  <c r="V43" i="4" s="1"/>
  <c r="B43" i="4"/>
  <c r="D57" i="4" s="1"/>
  <c r="S85" i="4"/>
  <c r="BA76" i="2"/>
  <c r="AV73" i="2"/>
  <c r="AM75" i="2"/>
  <c r="Q10" i="3"/>
  <c r="AG10" i="4"/>
  <c r="X21" i="4"/>
  <c r="AI77" i="4"/>
  <c r="AG77" i="4"/>
  <c r="Y91" i="4"/>
  <c r="W91" i="4"/>
  <c r="AS91" i="4"/>
  <c r="AQ91" i="4"/>
  <c r="AR50" i="4"/>
  <c r="AP50" i="4"/>
  <c r="B78" i="4"/>
  <c r="D92" i="4" s="1"/>
  <c r="R78" i="4"/>
  <c r="AH92" i="4"/>
  <c r="AF92" i="4"/>
  <c r="W22" i="4"/>
  <c r="W51" i="4"/>
  <c r="Y51" i="4"/>
  <c r="AQ51" i="4"/>
  <c r="AI65" i="4"/>
  <c r="W79" i="4"/>
  <c r="Y79" i="4"/>
  <c r="AQ79" i="4"/>
  <c r="AS79" i="4"/>
  <c r="AG93" i="4"/>
  <c r="AI93" i="4"/>
  <c r="B38" i="4"/>
  <c r="D52" i="4" s="1"/>
  <c r="R38" i="4"/>
  <c r="AF52" i="4"/>
  <c r="AL66" i="4"/>
  <c r="L66" i="4"/>
  <c r="R94" i="4"/>
  <c r="B94" i="4"/>
  <c r="D109" i="4" s="1"/>
  <c r="W54" i="4"/>
  <c r="Y54" i="4"/>
  <c r="AQ54" i="4"/>
  <c r="AS54" i="4"/>
  <c r="AI68" i="4"/>
  <c r="AG68" i="4"/>
  <c r="AS82" i="4"/>
  <c r="AQ82" i="4"/>
  <c r="AG96" i="4"/>
  <c r="AI96" i="4"/>
  <c r="Y111" i="4"/>
  <c r="Y60" i="2"/>
  <c r="AC60" i="2"/>
  <c r="AK60" i="2"/>
  <c r="AO60" i="2"/>
  <c r="AS60" i="2"/>
  <c r="AW60" i="2"/>
  <c r="BA60" i="2"/>
  <c r="BE60" i="2"/>
  <c r="D23" i="3"/>
  <c r="D25" i="3" s="1"/>
  <c r="H23" i="3"/>
  <c r="H25" i="3" s="1"/>
  <c r="Y7" i="4"/>
  <c r="AI7" i="4"/>
  <c r="W21" i="4"/>
  <c r="AQ63" i="4"/>
  <c r="S82" i="4"/>
  <c r="G23" i="3"/>
  <c r="C24" i="3"/>
  <c r="C25" i="3" s="1"/>
  <c r="W6" i="4"/>
  <c r="V21" i="4"/>
  <c r="AG4" i="4"/>
  <c r="W34" i="4"/>
  <c r="Y34" i="4"/>
  <c r="Y62" i="4"/>
  <c r="W62" i="4"/>
  <c r="AS62" i="4"/>
  <c r="W90" i="4"/>
  <c r="Y90" i="4"/>
  <c r="AQ90" i="4"/>
  <c r="AI49" i="4"/>
  <c r="AG49" i="4"/>
  <c r="AT16" i="2"/>
  <c r="AX16" i="2"/>
  <c r="BB16" i="2"/>
  <c r="BF16" i="2"/>
  <c r="B64" i="4"/>
  <c r="D78" i="4" s="1"/>
  <c r="R64" i="4"/>
  <c r="K92" i="4"/>
  <c r="AB78" i="4"/>
  <c r="K78" i="4"/>
  <c r="X31" i="2"/>
  <c r="AB31" i="2"/>
  <c r="AJ31" i="2"/>
  <c r="AN31" i="2"/>
  <c r="AR31" i="2"/>
  <c r="AV31" i="2"/>
  <c r="AZ31" i="2"/>
  <c r="BD31" i="2"/>
  <c r="BH31" i="2"/>
  <c r="W24" i="4"/>
  <c r="Y24" i="4"/>
  <c r="Y53" i="4"/>
  <c r="W53" i="4"/>
  <c r="AS53" i="4"/>
  <c r="AG67" i="4"/>
  <c r="AI67" i="4"/>
  <c r="W81" i="4"/>
  <c r="AS81" i="4"/>
  <c r="AQ81" i="4"/>
  <c r="AI95" i="4"/>
  <c r="AG95" i="4"/>
  <c r="W110" i="4"/>
  <c r="Y110" i="4"/>
  <c r="AL52" i="4"/>
  <c r="L52" i="4"/>
  <c r="R80" i="4"/>
  <c r="B80" i="4"/>
  <c r="D94" i="4" s="1"/>
  <c r="AB94" i="4"/>
  <c r="K94" i="4"/>
  <c r="T58" i="2"/>
  <c r="F10" i="4" s="1"/>
  <c r="C126" i="4" s="1"/>
  <c r="X58" i="2"/>
  <c r="AB58" i="2"/>
  <c r="AF58" i="2"/>
  <c r="K40" i="4" s="1"/>
  <c r="AJ58" i="2"/>
  <c r="AN58" i="2"/>
  <c r="AR58" i="2"/>
  <c r="AV58" i="2"/>
  <c r="AZ58" i="2"/>
  <c r="BD58" i="2"/>
  <c r="BH58" i="2"/>
  <c r="E23" i="3"/>
  <c r="E25" i="3" s="1"/>
  <c r="AI4" i="4"/>
  <c r="Y5" i="4"/>
  <c r="AG6" i="4"/>
  <c r="AG8" i="4"/>
  <c r="D21" i="4"/>
  <c r="Y22" i="4"/>
  <c r="AQ53" i="4"/>
  <c r="AG65" i="4"/>
  <c r="AB80" i="4"/>
  <c r="V14" i="2"/>
  <c r="Z14" i="2"/>
  <c r="AD14" i="2"/>
  <c r="AL14" i="2"/>
  <c r="AP14" i="2"/>
  <c r="AT14" i="2"/>
  <c r="AX14" i="2"/>
  <c r="BB14" i="2"/>
  <c r="BF14" i="2"/>
  <c r="AL90" i="4" s="1"/>
  <c r="AF5" i="4"/>
  <c r="R20" i="4"/>
  <c r="B20" i="4"/>
  <c r="D35" i="4" s="1"/>
  <c r="K49" i="4"/>
  <c r="AB49" i="4"/>
  <c r="R63" i="4"/>
  <c r="B63" i="4"/>
  <c r="D77" i="4" s="1"/>
  <c r="Y77" i="4"/>
  <c r="W77" i="4"/>
  <c r="AS77" i="4"/>
  <c r="AI91" i="4"/>
  <c r="AG91" i="4"/>
  <c r="Y106" i="4"/>
  <c r="B50" i="4"/>
  <c r="D64" i="4" s="1"/>
  <c r="R50" i="4"/>
  <c r="AH64" i="4"/>
  <c r="AF64" i="4"/>
  <c r="L78" i="4"/>
  <c r="AL78" i="4"/>
  <c r="B107" i="4"/>
  <c r="F122" i="4" s="1"/>
  <c r="R107" i="4"/>
  <c r="AG22" i="4"/>
  <c r="Y37" i="4"/>
  <c r="W37" i="4"/>
  <c r="AQ65" i="4"/>
  <c r="AS65" i="4"/>
  <c r="W93" i="4"/>
  <c r="Y93" i="4"/>
  <c r="AM93" i="4"/>
  <c r="AM92" i="4"/>
  <c r="R9" i="4"/>
  <c r="B9" i="4"/>
  <c r="F24" i="4" s="1"/>
  <c r="V24" i="4"/>
  <c r="B53" i="4"/>
  <c r="D67" i="4" s="1"/>
  <c r="R53" i="4"/>
  <c r="AF67" i="4"/>
  <c r="R81" i="4"/>
  <c r="B81" i="4"/>
  <c r="D95" i="4" s="1"/>
  <c r="AP81" i="4"/>
  <c r="D23" i="4"/>
  <c r="AB23" i="4"/>
  <c r="V66" i="4"/>
  <c r="AL94" i="4"/>
  <c r="L94" i="4"/>
  <c r="AI25" i="4"/>
  <c r="AG25" i="4"/>
  <c r="Y40" i="4"/>
  <c r="AG54" i="4"/>
  <c r="AI54" i="4"/>
  <c r="Y68" i="4"/>
  <c r="W68" i="4"/>
  <c r="AS68" i="4"/>
  <c r="AQ68" i="4"/>
  <c r="AI82" i="4"/>
  <c r="AG82" i="4"/>
  <c r="AQ96" i="4"/>
  <c r="AS96" i="4"/>
  <c r="W60" i="2"/>
  <c r="AA60" i="2"/>
  <c r="AI60" i="2"/>
  <c r="AM60" i="2"/>
  <c r="AQ60" i="2"/>
  <c r="AY60" i="2"/>
  <c r="BC60" i="2"/>
  <c r="BG60" i="2"/>
  <c r="B23" i="3"/>
  <c r="B25" i="3" s="1"/>
  <c r="F23" i="3"/>
  <c r="F25" i="3" s="1"/>
  <c r="AH5" i="4"/>
  <c r="R6" i="4"/>
  <c r="AH21" i="4" s="1"/>
  <c r="V8" i="4"/>
  <c r="AI19" i="4"/>
  <c r="Y35" i="4"/>
  <c r="Y20" i="4"/>
  <c r="AG20" i="4"/>
  <c r="AI21" i="4"/>
  <c r="AG21" i="4"/>
  <c r="K64" i="4"/>
  <c r="K67" i="4"/>
  <c r="AI76" i="4"/>
  <c r="Y66" i="4"/>
  <c r="Y52" i="4"/>
  <c r="Y107" i="4"/>
  <c r="W107" i="4"/>
  <c r="C110" i="4"/>
  <c r="T110" i="4"/>
  <c r="BH60" i="6"/>
  <c r="BI58" i="6"/>
  <c r="E126" i="4" s="1"/>
  <c r="U112" i="4"/>
  <c r="BK58" i="6"/>
  <c r="BF62" i="6"/>
  <c r="BF61" i="6"/>
  <c r="BG60" i="6"/>
  <c r="BH62" i="6"/>
  <c r="W36" i="4"/>
  <c r="W50" i="4"/>
  <c r="AQ50" i="4"/>
  <c r="AI52" i="4"/>
  <c r="AQ52" i="4"/>
  <c r="W23" i="4"/>
  <c r="W35" i="4"/>
  <c r="Y36" i="4"/>
  <c r="W38" i="4"/>
  <c r="AQ64" i="4"/>
  <c r="AY60" i="6"/>
  <c r="AN83" i="4" s="1"/>
  <c r="AQ60" i="6"/>
  <c r="AD69" i="4" s="1"/>
  <c r="AI60" i="6"/>
  <c r="AA60" i="6"/>
  <c r="S60" i="6"/>
  <c r="AU60" i="6"/>
  <c r="AK60" i="6"/>
  <c r="AD55" i="4" s="1"/>
  <c r="Y60" i="6"/>
  <c r="AD26" i="4" s="1"/>
  <c r="BC60" i="6"/>
  <c r="AD97" i="4" s="1"/>
  <c r="AS60" i="6"/>
  <c r="AN69" i="4" s="1"/>
  <c r="AG60" i="6"/>
  <c r="W60" i="6"/>
  <c r="AW60" i="6"/>
  <c r="AD83" i="4" s="1"/>
  <c r="AC60" i="6"/>
  <c r="AO60" i="6"/>
  <c r="U60" i="6"/>
  <c r="BA60" i="6"/>
  <c r="AM60" i="6"/>
  <c r="AN55" i="4" s="1"/>
  <c r="AG64" i="4"/>
  <c r="AS94" i="4"/>
  <c r="AQ94" i="4"/>
  <c r="Y109" i="4"/>
  <c r="W109" i="4"/>
  <c r="T76" i="4"/>
  <c r="C76" i="4"/>
  <c r="BG16" i="6"/>
  <c r="U106" i="4"/>
  <c r="W106" i="4" s="1"/>
  <c r="BC31" i="6"/>
  <c r="AD93" i="4" s="1"/>
  <c r="AU31" i="6"/>
  <c r="AM31" i="6"/>
  <c r="AN51" i="4" s="1"/>
  <c r="AE31" i="6"/>
  <c r="W31" i="6"/>
  <c r="BA31" i="6"/>
  <c r="AQ31" i="6"/>
  <c r="AD65" i="4" s="1"/>
  <c r="AG31" i="6"/>
  <c r="U31" i="6"/>
  <c r="AY31" i="6"/>
  <c r="AN79" i="4" s="1"/>
  <c r="AO31" i="6"/>
  <c r="AC31" i="6"/>
  <c r="S31" i="6"/>
  <c r="BI31" i="6"/>
  <c r="E123" i="4" s="1"/>
  <c r="AW31" i="6"/>
  <c r="AD79" i="4" s="1"/>
  <c r="AA31" i="6"/>
  <c r="AS31" i="6"/>
  <c r="AN65" i="4" s="1"/>
  <c r="Y31" i="6"/>
  <c r="U108" i="4"/>
  <c r="W108" i="4" s="1"/>
  <c r="BG31" i="6"/>
  <c r="H60" i="6"/>
  <c r="T96" i="4"/>
  <c r="C96" i="4"/>
  <c r="Y64" i="4"/>
  <c r="W64" i="4"/>
  <c r="AQ78" i="4"/>
  <c r="W92" i="4"/>
  <c r="AI31" i="6"/>
  <c r="AG78" i="4"/>
  <c r="W80" i="4"/>
  <c r="AG92" i="4"/>
  <c r="AI14" i="6"/>
  <c r="AC43" i="6"/>
  <c r="C109" i="4"/>
  <c r="T109" i="4"/>
  <c r="E60" i="6"/>
  <c r="I60" i="6"/>
  <c r="M60" i="6"/>
  <c r="BE60" i="6"/>
  <c r="AN97" i="4" s="1"/>
  <c r="BD61" i="6"/>
  <c r="AO97" i="4"/>
  <c r="W66" i="4"/>
  <c r="Y78" i="4"/>
  <c r="W78" i="4"/>
  <c r="AI94" i="4"/>
  <c r="BA14" i="6"/>
  <c r="AS14" i="6"/>
  <c r="AN62" i="4" s="1"/>
  <c r="AK14" i="6"/>
  <c r="AD48" i="4" s="1"/>
  <c r="AC14" i="6"/>
  <c r="U14" i="6"/>
  <c r="BC14" i="6"/>
  <c r="AD90" i="4" s="1"/>
  <c r="AQ14" i="6"/>
  <c r="AD62" i="4" s="1"/>
  <c r="AG14" i="6"/>
  <c r="W14" i="6"/>
  <c r="AY14" i="6"/>
  <c r="AN76" i="4" s="1"/>
  <c r="AO14" i="6"/>
  <c r="AE14" i="6"/>
  <c r="S14" i="6"/>
  <c r="AM14" i="6"/>
  <c r="AN48" i="4" s="1"/>
  <c r="BG14" i="6"/>
  <c r="U105" i="4"/>
  <c r="BC43" i="6"/>
  <c r="AD95" i="4" s="1"/>
  <c r="AF95" i="4" s="1"/>
  <c r="AU43" i="6"/>
  <c r="AM43" i="6"/>
  <c r="AN53" i="4" s="1"/>
  <c r="AP53" i="4" s="1"/>
  <c r="AE43" i="6"/>
  <c r="W43" i="6"/>
  <c r="BI43" i="6"/>
  <c r="E125" i="4" s="1"/>
  <c r="BE43" i="6"/>
  <c r="AN95" i="4" s="1"/>
  <c r="AS43" i="6"/>
  <c r="AN67" i="4" s="1"/>
  <c r="AI43" i="6"/>
  <c r="Y43" i="6"/>
  <c r="BA43" i="6"/>
  <c r="AQ43" i="6"/>
  <c r="AD67" i="4" s="1"/>
  <c r="AG43" i="6"/>
  <c r="U43" i="6"/>
  <c r="AK43" i="6"/>
  <c r="AD53" i="4" s="1"/>
  <c r="BG58" i="6"/>
  <c r="U111" i="4"/>
  <c r="W111" i="4" s="1"/>
  <c r="BA66" i="6"/>
  <c r="AS66" i="6"/>
  <c r="Q73" i="6"/>
  <c r="BG66" i="6"/>
  <c r="AW66" i="6"/>
  <c r="AM66" i="6"/>
  <c r="BE66" i="6"/>
  <c r="AU66" i="6"/>
  <c r="AQ66" i="6"/>
  <c r="T107" i="4"/>
  <c r="C107" i="4"/>
  <c r="Y58" i="6"/>
  <c r="AI58" i="6"/>
  <c r="BC58" i="6"/>
  <c r="AD96" i="4" s="1"/>
  <c r="AU58" i="6"/>
  <c r="AM58" i="6"/>
  <c r="AN54" i="4" s="1"/>
  <c r="AE58" i="6"/>
  <c r="W58" i="6"/>
  <c r="AA58" i="6"/>
  <c r="AK58" i="6"/>
  <c r="AD54" i="4" s="1"/>
  <c r="AW58" i="6"/>
  <c r="AD82" i="4" s="1"/>
  <c r="BE58" i="6"/>
  <c r="AN96" i="4" s="1"/>
  <c r="BG73" i="6"/>
  <c r="G25" i="3" l="1"/>
  <c r="AS10" i="3"/>
  <c r="AD9" i="4"/>
  <c r="E9" i="4"/>
  <c r="C81" i="4"/>
  <c r="T81" i="4"/>
  <c r="V81" i="4" s="1"/>
  <c r="T41" i="4"/>
  <c r="C41" i="4"/>
  <c r="T83" i="4"/>
  <c r="C83" i="4"/>
  <c r="AC69" i="4"/>
  <c r="AA10" i="3"/>
  <c r="AR60" i="2"/>
  <c r="AQ61" i="2"/>
  <c r="AQ93" i="4"/>
  <c r="AS93" i="4"/>
  <c r="K76" i="4"/>
  <c r="AB76" i="4"/>
  <c r="B10" i="4"/>
  <c r="F25" i="4" s="1"/>
  <c r="R10" i="4"/>
  <c r="AL51" i="4"/>
  <c r="L51" i="4"/>
  <c r="X38" i="4"/>
  <c r="V38" i="4"/>
  <c r="B95" i="4"/>
  <c r="D110" i="4" s="1"/>
  <c r="R95" i="4"/>
  <c r="AQ76" i="4"/>
  <c r="AS76" i="4"/>
  <c r="R114" i="4"/>
  <c r="B114" i="4"/>
  <c r="B68" i="4"/>
  <c r="D82" i="4" s="1"/>
  <c r="R68" i="4"/>
  <c r="AF63" i="4"/>
  <c r="AH63" i="4"/>
  <c r="B49" i="4"/>
  <c r="D63" i="4" s="1"/>
  <c r="R49" i="4"/>
  <c r="R99" i="4"/>
  <c r="B99" i="4"/>
  <c r="D114" i="4" s="1"/>
  <c r="R105" i="4"/>
  <c r="B105" i="4"/>
  <c r="F120" i="4" s="1"/>
  <c r="E25" i="4"/>
  <c r="AD25" i="4"/>
  <c r="T53" i="4"/>
  <c r="C53" i="4"/>
  <c r="C9" i="4"/>
  <c r="T9" i="4"/>
  <c r="V9" i="4" s="1"/>
  <c r="C4" i="4"/>
  <c r="T4" i="4"/>
  <c r="AD4" i="4"/>
  <c r="E4" i="4"/>
  <c r="C90" i="4"/>
  <c r="T90" i="4"/>
  <c r="AD22" i="4"/>
  <c r="E22" i="4"/>
  <c r="T93" i="4"/>
  <c r="C93" i="4"/>
  <c r="T79" i="4"/>
  <c r="C79" i="4"/>
  <c r="C97" i="4"/>
  <c r="T97" i="4"/>
  <c r="T112" i="4"/>
  <c r="C112" i="4"/>
  <c r="S112" i="4"/>
  <c r="AQ10" i="3"/>
  <c r="BI62" i="2"/>
  <c r="BL58" i="2"/>
  <c r="BH60" i="2"/>
  <c r="BG61" i="2"/>
  <c r="AM55" i="4"/>
  <c r="W10" i="3"/>
  <c r="AM61" i="2"/>
  <c r="AN60" i="2"/>
  <c r="X66" i="4"/>
  <c r="V53" i="4"/>
  <c r="AH49" i="4"/>
  <c r="AF49" i="4"/>
  <c r="L62" i="4"/>
  <c r="AL62" i="4"/>
  <c r="D19" i="4"/>
  <c r="AB19" i="4"/>
  <c r="L82" i="4"/>
  <c r="AL82" i="4"/>
  <c r="B54" i="4"/>
  <c r="D68" i="4" s="1"/>
  <c r="R54" i="4"/>
  <c r="X80" i="4"/>
  <c r="V80" i="4"/>
  <c r="AL79" i="4"/>
  <c r="L79" i="4"/>
  <c r="R51" i="4"/>
  <c r="B51" i="4"/>
  <c r="D65" i="4" s="1"/>
  <c r="AH78" i="4"/>
  <c r="AF78" i="4"/>
  <c r="L91" i="4"/>
  <c r="AL91" i="4"/>
  <c r="AT60" i="2"/>
  <c r="AM69" i="4"/>
  <c r="AS61" i="2"/>
  <c r="AC10" i="3"/>
  <c r="AC26" i="4"/>
  <c r="Z60" i="2"/>
  <c r="I10" i="3"/>
  <c r="AP66" i="4"/>
  <c r="AR66" i="4"/>
  <c r="W85" i="4"/>
  <c r="Y85" i="4"/>
  <c r="B96" i="4"/>
  <c r="D111" i="4" s="1"/>
  <c r="R96" i="4"/>
  <c r="AB10" i="4"/>
  <c r="D10" i="4"/>
  <c r="L95" i="4"/>
  <c r="AL95" i="4"/>
  <c r="D24" i="4"/>
  <c r="AB24" i="4"/>
  <c r="AS49" i="4"/>
  <c r="AQ49" i="4"/>
  <c r="AP80" i="4"/>
  <c r="AR80" i="4"/>
  <c r="Y95" i="4"/>
  <c r="W95" i="4"/>
  <c r="R48" i="4"/>
  <c r="B48" i="4"/>
  <c r="D62" i="4" s="1"/>
  <c r="Y114" i="4"/>
  <c r="W114" i="4"/>
  <c r="AI57" i="4"/>
  <c r="AG57" i="4"/>
  <c r="O10" i="3"/>
  <c r="AE61" i="2"/>
  <c r="AF60" i="2"/>
  <c r="W39" i="4"/>
  <c r="Y39" i="4"/>
  <c r="X106" i="4"/>
  <c r="R76" i="4"/>
  <c r="B76" i="4"/>
  <c r="D90" i="4" s="1"/>
  <c r="R4" i="4"/>
  <c r="B4" i="4"/>
  <c r="F19" i="4" s="1"/>
  <c r="AL99" i="4"/>
  <c r="L99" i="4"/>
  <c r="AH66" i="4"/>
  <c r="AF66" i="4"/>
  <c r="K53" i="4"/>
  <c r="AB53" i="4"/>
  <c r="Y49" i="4"/>
  <c r="W49" i="4"/>
  <c r="W19" i="4"/>
  <c r="Y19" i="4"/>
  <c r="AB99" i="4"/>
  <c r="K99" i="4"/>
  <c r="AS57" i="4"/>
  <c r="AQ57" i="4"/>
  <c r="R40" i="4"/>
  <c r="B40" i="4"/>
  <c r="D54" i="4" s="1"/>
  <c r="R65" i="4"/>
  <c r="B65" i="4"/>
  <c r="D79" i="4" s="1"/>
  <c r="AC51" i="4"/>
  <c r="AL31" i="2"/>
  <c r="V36" i="4"/>
  <c r="X36" i="4"/>
  <c r="V77" i="4"/>
  <c r="X77" i="4"/>
  <c r="BJ60" i="2"/>
  <c r="V109" i="4"/>
  <c r="X109" i="4"/>
  <c r="W105" i="4"/>
  <c r="Y105" i="4"/>
  <c r="T54" i="4"/>
  <c r="C54" i="4"/>
  <c r="E24" i="4"/>
  <c r="AD24" i="4"/>
  <c r="S11" i="4"/>
  <c r="W61" i="2"/>
  <c r="G10" i="3"/>
  <c r="X60" i="2"/>
  <c r="V63" i="4"/>
  <c r="X63" i="4"/>
  <c r="R34" i="4"/>
  <c r="B34" i="4"/>
  <c r="D48" i="4" s="1"/>
  <c r="K96" i="4"/>
  <c r="AB96" i="4"/>
  <c r="AL63" i="4"/>
  <c r="L63" i="4"/>
  <c r="S41" i="4"/>
  <c r="AD60" i="2"/>
  <c r="AC61" i="2"/>
  <c r="M10" i="3"/>
  <c r="AI62" i="2"/>
  <c r="AQ71" i="4"/>
  <c r="AS71" i="4"/>
  <c r="Y67" i="4"/>
  <c r="W67" i="4"/>
  <c r="L49" i="4"/>
  <c r="AL49" i="4"/>
  <c r="AP77" i="4"/>
  <c r="AB57" i="4"/>
  <c r="K57" i="4"/>
  <c r="R39" i="4"/>
  <c r="X53" i="4" s="1"/>
  <c r="B39" i="4"/>
  <c r="D53" i="4" s="1"/>
  <c r="AI90" i="4"/>
  <c r="AG90" i="4"/>
  <c r="R19" i="4"/>
  <c r="B19" i="4"/>
  <c r="D34" i="4" s="1"/>
  <c r="AL57" i="4"/>
  <c r="L57" i="4"/>
  <c r="L68" i="4"/>
  <c r="AL68" i="4"/>
  <c r="AL93" i="4"/>
  <c r="L93" i="4"/>
  <c r="AL92" i="4"/>
  <c r="X107" i="4" s="1"/>
  <c r="AR64" i="4"/>
  <c r="AP64" i="4"/>
  <c r="Y57" i="4"/>
  <c r="W57" i="4"/>
  <c r="AL65" i="4"/>
  <c r="L65" i="4"/>
  <c r="T114" i="4"/>
  <c r="C114" i="4"/>
  <c r="C25" i="4"/>
  <c r="T25" i="4"/>
  <c r="C82" i="4"/>
  <c r="T82" i="4"/>
  <c r="BA73" i="6"/>
  <c r="AS73" i="6"/>
  <c r="AN71" i="4" s="1"/>
  <c r="AK73" i="6"/>
  <c r="AD57" i="4" s="1"/>
  <c r="AW73" i="6"/>
  <c r="AD85" i="4" s="1"/>
  <c r="AM73" i="6"/>
  <c r="AN57" i="4" s="1"/>
  <c r="BE73" i="6"/>
  <c r="AN99" i="4" s="1"/>
  <c r="AU73" i="6"/>
  <c r="AI73" i="6"/>
  <c r="AO73" i="6"/>
  <c r="BC73" i="6"/>
  <c r="AD99" i="4" s="1"/>
  <c r="AY73" i="6"/>
  <c r="AN85" i="4" s="1"/>
  <c r="AQ73" i="6"/>
  <c r="AD71" i="4" s="1"/>
  <c r="T111" i="4"/>
  <c r="C111" i="4"/>
  <c r="T34" i="4"/>
  <c r="C34" i="4"/>
  <c r="C39" i="4"/>
  <c r="T39" i="4"/>
  <c r="AD7" i="4"/>
  <c r="E7" i="4"/>
  <c r="T7" i="4"/>
  <c r="C7" i="4"/>
  <c r="E26" i="4"/>
  <c r="AD11" i="4"/>
  <c r="E11" i="4"/>
  <c r="T11" i="4"/>
  <c r="C11" i="4"/>
  <c r="T26" i="4"/>
  <c r="C26" i="4"/>
  <c r="AC97" i="4"/>
  <c r="AM10" i="3"/>
  <c r="BC61" i="2"/>
  <c r="BD60" i="2"/>
  <c r="S55" i="4"/>
  <c r="S10" i="3"/>
  <c r="AO62" i="2"/>
  <c r="AI61" i="2"/>
  <c r="AJ60" i="2"/>
  <c r="AH23" i="4"/>
  <c r="AF23" i="4"/>
  <c r="AR78" i="4"/>
  <c r="AP78" i="4"/>
  <c r="X50" i="4"/>
  <c r="V50" i="4"/>
  <c r="AP90" i="4"/>
  <c r="AR90" i="4"/>
  <c r="B62" i="4"/>
  <c r="D76" i="4" s="1"/>
  <c r="R62" i="4"/>
  <c r="D4" i="4"/>
  <c r="AB4" i="4"/>
  <c r="B82" i="4"/>
  <c r="D96" i="4" s="1"/>
  <c r="R82" i="4"/>
  <c r="R79" i="4"/>
  <c r="B79" i="4"/>
  <c r="D93" i="4" s="1"/>
  <c r="R22" i="4"/>
  <c r="B22" i="4"/>
  <c r="D37" i="4" s="1"/>
  <c r="B91" i="4"/>
  <c r="D106" i="4" s="1"/>
  <c r="R91" i="4"/>
  <c r="Y82" i="4"/>
  <c r="W82" i="4"/>
  <c r="Y96" i="4"/>
  <c r="AM97" i="4"/>
  <c r="BE61" i="2"/>
  <c r="BF60" i="2"/>
  <c r="AO10" i="3"/>
  <c r="S69" i="4"/>
  <c r="AO61" i="2"/>
  <c r="AU62" i="2"/>
  <c r="AP60" i="2"/>
  <c r="Y10" i="3"/>
  <c r="V78" i="4"/>
  <c r="X78" i="4"/>
  <c r="K54" i="4"/>
  <c r="AB54" i="4"/>
  <c r="AS95" i="4"/>
  <c r="AQ95" i="4"/>
  <c r="AG24" i="4"/>
  <c r="AI24" i="4"/>
  <c r="V35" i="4"/>
  <c r="X35" i="4"/>
  <c r="Y48" i="4"/>
  <c r="W48" i="4"/>
  <c r="K71" i="4"/>
  <c r="AB71" i="4"/>
  <c r="AB85" i="4"/>
  <c r="K85" i="4"/>
  <c r="AL96" i="4"/>
  <c r="L96" i="4"/>
  <c r="AB25" i="4"/>
  <c r="D25" i="4"/>
  <c r="AL67" i="4"/>
  <c r="L67" i="4"/>
  <c r="R93" i="4"/>
  <c r="B93" i="4"/>
  <c r="D108" i="4" s="1"/>
  <c r="AF20" i="4"/>
  <c r="AH20" i="4"/>
  <c r="W76" i="4"/>
  <c r="Y76" i="4"/>
  <c r="W4" i="4"/>
  <c r="Y4" i="4"/>
  <c r="AQ99" i="4"/>
  <c r="AS99" i="4"/>
  <c r="AI53" i="4"/>
  <c r="AG53" i="4"/>
  <c r="K62" i="4"/>
  <c r="AB62" i="4"/>
  <c r="W99" i="4"/>
  <c r="Y99" i="4"/>
  <c r="C10" i="3"/>
  <c r="T60" i="2"/>
  <c r="AB81" i="4"/>
  <c r="K81" i="4"/>
  <c r="V110" i="4"/>
  <c r="X110" i="4"/>
  <c r="B37" i="4"/>
  <c r="D51" i="4" s="1"/>
  <c r="R37" i="4"/>
  <c r="AH50" i="4"/>
  <c r="AF50" i="4"/>
  <c r="AL85" i="4"/>
  <c r="L85" i="4"/>
  <c r="R71" i="4"/>
  <c r="B71" i="4"/>
  <c r="D85" i="4" s="1"/>
  <c r="AB9" i="4"/>
  <c r="X9" i="4" s="1"/>
  <c r="D9" i="4"/>
  <c r="AH79" i="4"/>
  <c r="AF79" i="4"/>
  <c r="T65" i="4"/>
  <c r="C65" i="4"/>
  <c r="C106" i="4"/>
  <c r="T106" i="4"/>
  <c r="V106" i="4" s="1"/>
  <c r="X6" i="4"/>
  <c r="V6" i="4"/>
  <c r="V107" i="4"/>
  <c r="V20" i="4"/>
  <c r="X20" i="4"/>
  <c r="L54" i="4"/>
  <c r="AL54" i="4"/>
  <c r="K93" i="4"/>
  <c r="AB93" i="4"/>
  <c r="AC83" i="4"/>
  <c r="AW61" i="2"/>
  <c r="AX60" i="2"/>
  <c r="AG10" i="3"/>
  <c r="D22" i="4"/>
  <c r="AB22" i="4"/>
  <c r="AS48" i="4"/>
  <c r="AQ48" i="4"/>
  <c r="V52" i="4"/>
  <c r="X52" i="4"/>
  <c r="R57" i="4"/>
  <c r="B57" i="4"/>
  <c r="D71" i="4" s="1"/>
  <c r="T10" i="4"/>
  <c r="C10" i="4"/>
  <c r="T95" i="4"/>
  <c r="C95" i="4"/>
  <c r="C105" i="4"/>
  <c r="T105" i="4"/>
  <c r="T62" i="4"/>
  <c r="C62" i="4"/>
  <c r="C48" i="4"/>
  <c r="T48" i="4"/>
  <c r="C51" i="4"/>
  <c r="T51" i="4"/>
  <c r="C108" i="4"/>
  <c r="T108" i="4"/>
  <c r="T22" i="4"/>
  <c r="C22" i="4"/>
  <c r="T37" i="4"/>
  <c r="C37" i="4"/>
  <c r="T69" i="4"/>
  <c r="C69" i="4"/>
  <c r="C55" i="4"/>
  <c r="T55" i="4"/>
  <c r="BI60" i="6"/>
  <c r="E127" i="4" s="1"/>
  <c r="BH61" i="6"/>
  <c r="AM83" i="4"/>
  <c r="AI10" i="3"/>
  <c r="AY61" i="2"/>
  <c r="AZ60" i="2"/>
  <c r="S26" i="4"/>
  <c r="AC62" i="2"/>
  <c r="K10" i="3"/>
  <c r="AA62" i="2"/>
  <c r="AB60" i="2"/>
  <c r="AA61" i="2"/>
  <c r="AP94" i="4"/>
  <c r="AR94" i="4"/>
  <c r="X81" i="4"/>
  <c r="AQ92" i="4"/>
  <c r="AS92" i="4"/>
  <c r="R90" i="4"/>
  <c r="B90" i="4"/>
  <c r="D105" i="4" s="1"/>
  <c r="AB48" i="4"/>
  <c r="K48" i="4"/>
  <c r="AH80" i="4"/>
  <c r="AF80" i="4"/>
  <c r="B111" i="4"/>
  <c r="F126" i="4" s="1"/>
  <c r="R111" i="4"/>
  <c r="AB68" i="4"/>
  <c r="K68" i="4"/>
  <c r="R25" i="4"/>
  <c r="B25" i="4"/>
  <c r="D40" i="4" s="1"/>
  <c r="AF94" i="4"/>
  <c r="AH94" i="4"/>
  <c r="AP52" i="4"/>
  <c r="AR52" i="4"/>
  <c r="Y81" i="4"/>
  <c r="B108" i="4"/>
  <c r="F123" i="4" s="1"/>
  <c r="R108" i="4"/>
  <c r="K65" i="4"/>
  <c r="AB65" i="4"/>
  <c r="B7" i="4"/>
  <c r="F22" i="4" s="1"/>
  <c r="R7" i="4"/>
  <c r="V64" i="4"/>
  <c r="X64" i="4"/>
  <c r="AB77" i="4"/>
  <c r="K77" i="4"/>
  <c r="AS90" i="4"/>
  <c r="S97" i="4"/>
  <c r="BB60" i="2"/>
  <c r="BA61" i="2"/>
  <c r="BG62" i="2"/>
  <c r="AK10" i="3"/>
  <c r="AC55" i="4"/>
  <c r="AL60" i="2"/>
  <c r="AK61" i="2"/>
  <c r="U10" i="3"/>
  <c r="V94" i="4"/>
  <c r="X94" i="4"/>
  <c r="Y108" i="4"/>
  <c r="R85" i="4"/>
  <c r="B85" i="4"/>
  <c r="D99" i="4" s="1"/>
  <c r="AL71" i="4"/>
  <c r="L71" i="4"/>
  <c r="L41" i="4"/>
  <c r="R10" i="3"/>
  <c r="BJ10" i="3" s="1"/>
  <c r="R67" i="4"/>
  <c r="B67" i="4"/>
  <c r="D81" i="4" s="1"/>
  <c r="D7" i="4"/>
  <c r="AB7" i="4"/>
  <c r="AF91" i="4"/>
  <c r="V23" i="4"/>
  <c r="X23" i="4"/>
  <c r="L76" i="4"/>
  <c r="AL76" i="4"/>
  <c r="AI71" i="4"/>
  <c r="AG71" i="4"/>
  <c r="AG85" i="4"/>
  <c r="AI85" i="4"/>
  <c r="S83" i="4"/>
  <c r="BA62" i="2"/>
  <c r="AE10" i="3"/>
  <c r="AU61" i="2"/>
  <c r="AV60" i="2"/>
  <c r="AC11" i="4"/>
  <c r="V60" i="2"/>
  <c r="E10" i="3"/>
  <c r="AS67" i="4"/>
  <c r="AQ67" i="4"/>
  <c r="AB90" i="4"/>
  <c r="L90" i="4"/>
  <c r="K90" i="4"/>
  <c r="AL48" i="4"/>
  <c r="L48" i="4"/>
  <c r="AB82" i="4"/>
  <c r="K82" i="4"/>
  <c r="AI62" i="4"/>
  <c r="AG62" i="4"/>
  <c r="AG99" i="4"/>
  <c r="AI99" i="4"/>
  <c r="AG81" i="4"/>
  <c r="AI81" i="4"/>
  <c r="X92" i="4"/>
  <c r="V92" i="4"/>
  <c r="AH6" i="4"/>
  <c r="AF6" i="4"/>
  <c r="V5" i="4"/>
  <c r="X5" i="4"/>
  <c r="AQ85" i="4"/>
  <c r="AS85" i="4"/>
  <c r="W71" i="4"/>
  <c r="Y71" i="4"/>
  <c r="AI9" i="4"/>
  <c r="AG9" i="4"/>
  <c r="Y63" i="4"/>
  <c r="AG55" i="4" l="1"/>
  <c r="AI55" i="4"/>
  <c r="AH22" i="4"/>
  <c r="AF22" i="4"/>
  <c r="AR54" i="4"/>
  <c r="AP54" i="4"/>
  <c r="F11" i="4"/>
  <c r="C127" i="4" s="1"/>
  <c r="D10" i="3"/>
  <c r="AS97" i="4"/>
  <c r="AQ97" i="4"/>
  <c r="AF4" i="4"/>
  <c r="AH4" i="4"/>
  <c r="V19" i="4"/>
  <c r="X19" i="4"/>
  <c r="AR99" i="4"/>
  <c r="AP99" i="4"/>
  <c r="AF24" i="4"/>
  <c r="AH24" i="4"/>
  <c r="X24" i="4"/>
  <c r="V51" i="4"/>
  <c r="X51" i="4"/>
  <c r="X95" i="4"/>
  <c r="V95" i="4"/>
  <c r="AH95" i="4"/>
  <c r="AF76" i="4"/>
  <c r="AH76" i="4"/>
  <c r="R83" i="4"/>
  <c r="AF10" i="3"/>
  <c r="B83" i="4"/>
  <c r="D97" i="4" s="1"/>
  <c r="Y83" i="4"/>
  <c r="W83" i="4"/>
  <c r="X85" i="4"/>
  <c r="W97" i="4"/>
  <c r="Y97" i="4"/>
  <c r="AH65" i="4"/>
  <c r="AF65" i="4"/>
  <c r="AF68" i="4"/>
  <c r="AH68" i="4"/>
  <c r="V90" i="4"/>
  <c r="X90" i="4"/>
  <c r="B26" i="4"/>
  <c r="D41" i="4" s="1"/>
  <c r="R26" i="4"/>
  <c r="L10" i="3"/>
  <c r="Y26" i="4"/>
  <c r="W26" i="4"/>
  <c r="AS83" i="4"/>
  <c r="AQ83" i="4"/>
  <c r="AI83" i="4"/>
  <c r="AG83" i="4"/>
  <c r="X71" i="4"/>
  <c r="V71" i="4"/>
  <c r="X93" i="4"/>
  <c r="V93" i="4"/>
  <c r="AF25" i="4"/>
  <c r="AH25" i="4"/>
  <c r="AF85" i="4"/>
  <c r="AH85" i="4"/>
  <c r="B69" i="4"/>
  <c r="D83" i="4" s="1"/>
  <c r="R69" i="4"/>
  <c r="Z10" i="3"/>
  <c r="X79" i="4"/>
  <c r="V79" i="4"/>
  <c r="T85" i="4"/>
  <c r="V85" i="4" s="1"/>
  <c r="C85" i="4"/>
  <c r="AR49" i="4"/>
  <c r="AP49" i="4"/>
  <c r="AP63" i="4"/>
  <c r="AR63" i="4"/>
  <c r="X34" i="4"/>
  <c r="V34" i="4"/>
  <c r="AB51" i="4"/>
  <c r="K51" i="4"/>
  <c r="K41" i="4"/>
  <c r="P10" i="3"/>
  <c r="BI10" i="3" s="1"/>
  <c r="V48" i="4"/>
  <c r="X48" i="4"/>
  <c r="AH10" i="4"/>
  <c r="AF10" i="4"/>
  <c r="AB26" i="4"/>
  <c r="J10" i="3"/>
  <c r="D26" i="4"/>
  <c r="AS69" i="4"/>
  <c r="AQ69" i="4"/>
  <c r="X54" i="4"/>
  <c r="V54" i="4"/>
  <c r="AF19" i="4"/>
  <c r="AH19" i="4"/>
  <c r="AQ55" i="4"/>
  <c r="AS55" i="4"/>
  <c r="X99" i="4"/>
  <c r="V114" i="4"/>
  <c r="X114" i="4"/>
  <c r="AP51" i="4"/>
  <c r="AR51" i="4"/>
  <c r="K69" i="4"/>
  <c r="AB69" i="4"/>
  <c r="AB10" i="3"/>
  <c r="BO10" i="3" s="1"/>
  <c r="AG11" i="4"/>
  <c r="AI11" i="4"/>
  <c r="AH7" i="4"/>
  <c r="AF7" i="4"/>
  <c r="AR92" i="4"/>
  <c r="AP92" i="4"/>
  <c r="X65" i="4"/>
  <c r="V65" i="4"/>
  <c r="X111" i="4"/>
  <c r="V111" i="4"/>
  <c r="AF93" i="4"/>
  <c r="AH93" i="4"/>
  <c r="X37" i="4"/>
  <c r="V37" i="4"/>
  <c r="AH71" i="4"/>
  <c r="AF71" i="4"/>
  <c r="L97" i="4"/>
  <c r="AL97" i="4"/>
  <c r="AP10" i="3"/>
  <c r="BV10" i="3" s="1"/>
  <c r="V82" i="4"/>
  <c r="X82" i="4"/>
  <c r="X62" i="4"/>
  <c r="V62" i="4"/>
  <c r="R55" i="4"/>
  <c r="T10" i="3"/>
  <c r="B55" i="4"/>
  <c r="D69" i="4" s="1"/>
  <c r="W55" i="4"/>
  <c r="Y55" i="4"/>
  <c r="AI97" i="4"/>
  <c r="AG97" i="4"/>
  <c r="AR93" i="4"/>
  <c r="AP93" i="4"/>
  <c r="AP57" i="4"/>
  <c r="AR57" i="4"/>
  <c r="AF57" i="4"/>
  <c r="AH57" i="4"/>
  <c r="B41" i="4"/>
  <c r="D55" i="4" s="1"/>
  <c r="R41" i="4"/>
  <c r="N10" i="3"/>
  <c r="AH96" i="4"/>
  <c r="AF96" i="4"/>
  <c r="AG51" i="4"/>
  <c r="AI51" i="4"/>
  <c r="AS51" i="4"/>
  <c r="V40" i="4"/>
  <c r="X40" i="4"/>
  <c r="AF99" i="4"/>
  <c r="AH99" i="4"/>
  <c r="V4" i="4"/>
  <c r="X4" i="4"/>
  <c r="AR95" i="4"/>
  <c r="AP95" i="4"/>
  <c r="X96" i="4"/>
  <c r="V96" i="4"/>
  <c r="AI26" i="4"/>
  <c r="AG26" i="4"/>
  <c r="L69" i="4"/>
  <c r="AL69" i="4"/>
  <c r="AD10" i="3"/>
  <c r="BP10" i="3" s="1"/>
  <c r="AR79" i="4"/>
  <c r="AP79" i="4"/>
  <c r="AL55" i="4"/>
  <c r="L55" i="4"/>
  <c r="X10" i="3"/>
  <c r="BM10" i="3" s="1"/>
  <c r="X49" i="4"/>
  <c r="V49" i="4"/>
  <c r="V68" i="4"/>
  <c r="X68" i="4"/>
  <c r="X10" i="4"/>
  <c r="V10" i="4"/>
  <c r="AP48" i="4"/>
  <c r="AR48" i="4"/>
  <c r="R97" i="4"/>
  <c r="B97" i="4"/>
  <c r="D112" i="4" s="1"/>
  <c r="AL10" i="3"/>
  <c r="AF77" i="4"/>
  <c r="AH77" i="4"/>
  <c r="AH62" i="4"/>
  <c r="AF62" i="4"/>
  <c r="AH54" i="4"/>
  <c r="AF54" i="4"/>
  <c r="W69" i="4"/>
  <c r="Y69" i="4"/>
  <c r="X91" i="4"/>
  <c r="V91" i="4"/>
  <c r="C57" i="4"/>
  <c r="T57" i="4"/>
  <c r="V39" i="4"/>
  <c r="X39" i="4"/>
  <c r="H10" i="3"/>
  <c r="R11" i="4"/>
  <c r="B11" i="4"/>
  <c r="F26" i="4" s="1"/>
  <c r="D127" i="4"/>
  <c r="AT10" i="3"/>
  <c r="X76" i="4"/>
  <c r="V76" i="4"/>
  <c r="AF82" i="4"/>
  <c r="AH82" i="4"/>
  <c r="AP76" i="4"/>
  <c r="AR76" i="4"/>
  <c r="L83" i="4"/>
  <c r="AL83" i="4"/>
  <c r="AJ10" i="3"/>
  <c r="BS10" i="3" s="1"/>
  <c r="AF90" i="4"/>
  <c r="AH90" i="4"/>
  <c r="D11" i="4"/>
  <c r="F10" i="3"/>
  <c r="AB11" i="4"/>
  <c r="AH91" i="4"/>
  <c r="V67" i="4"/>
  <c r="X67" i="4"/>
  <c r="AH67" i="4"/>
  <c r="AR71" i="4"/>
  <c r="AP71" i="4"/>
  <c r="AB55" i="4"/>
  <c r="K55" i="4"/>
  <c r="V10" i="3"/>
  <c r="BL10" i="3" s="1"/>
  <c r="X7" i="4"/>
  <c r="V7" i="4"/>
  <c r="V108" i="4"/>
  <c r="X108" i="4"/>
  <c r="V25" i="4"/>
  <c r="X25" i="4"/>
  <c r="AF48" i="4"/>
  <c r="AH48" i="4"/>
  <c r="V57" i="4"/>
  <c r="X57" i="4"/>
  <c r="K83" i="4"/>
  <c r="AB83" i="4"/>
  <c r="AH10" i="3"/>
  <c r="BR10" i="3" s="1"/>
  <c r="AF9" i="4"/>
  <c r="AH9" i="4"/>
  <c r="AR85" i="4"/>
  <c r="AP85" i="4"/>
  <c r="AF81" i="4"/>
  <c r="AH81" i="4"/>
  <c r="AR81" i="4"/>
  <c r="AP67" i="4"/>
  <c r="AR67" i="4"/>
  <c r="AR96" i="4"/>
  <c r="AP96" i="4"/>
  <c r="X22" i="4"/>
  <c r="V22" i="4"/>
  <c r="AB97" i="4"/>
  <c r="K97" i="4"/>
  <c r="AN10" i="3"/>
  <c r="BU10" i="3" s="1"/>
  <c r="T71" i="4"/>
  <c r="C71" i="4"/>
  <c r="T99" i="4"/>
  <c r="V99" i="4" s="1"/>
  <c r="C99" i="4"/>
  <c r="AR65" i="4"/>
  <c r="AP65" i="4"/>
  <c r="AR68" i="4"/>
  <c r="AP68" i="4"/>
  <c r="AR77" i="4"/>
  <c r="Y41" i="4"/>
  <c r="W41" i="4"/>
  <c r="W11" i="4"/>
  <c r="Y11" i="4"/>
  <c r="AH53" i="4"/>
  <c r="AF53" i="4"/>
  <c r="AR53" i="4"/>
  <c r="AP91" i="4"/>
  <c r="AR91" i="4"/>
  <c r="AR82" i="4"/>
  <c r="AP82" i="4"/>
  <c r="AR62" i="4"/>
  <c r="AP62" i="4"/>
  <c r="B112" i="4"/>
  <c r="F127" i="4" s="1"/>
  <c r="R112" i="4"/>
  <c r="AR10" i="3"/>
  <c r="Y112" i="4"/>
  <c r="W112" i="4"/>
  <c r="V105" i="4"/>
  <c r="X105" i="4"/>
  <c r="AI69" i="4"/>
  <c r="AG69" i="4"/>
  <c r="AH83" i="4" l="1"/>
  <c r="AF83" i="4"/>
  <c r="C21" i="3"/>
  <c r="BK10" i="3"/>
  <c r="AH26" i="4"/>
  <c r="AF26" i="4"/>
  <c r="M21" i="3"/>
  <c r="M20" i="3"/>
  <c r="BQ10" i="3"/>
  <c r="E21" i="3"/>
  <c r="AH97" i="4"/>
  <c r="AF97" i="4"/>
  <c r="AH11" i="4"/>
  <c r="AF11" i="4"/>
  <c r="V55" i="4"/>
  <c r="X55" i="4"/>
  <c r="X26" i="4"/>
  <c r="V26" i="4"/>
  <c r="X83" i="4"/>
  <c r="V83" i="4"/>
  <c r="V97" i="4"/>
  <c r="X97" i="4"/>
  <c r="I21" i="3"/>
  <c r="I20" i="3"/>
  <c r="AF55" i="4"/>
  <c r="AH55" i="4"/>
  <c r="J21" i="3"/>
  <c r="J20" i="3"/>
  <c r="X11" i="4"/>
  <c r="V11" i="4"/>
  <c r="F21" i="3"/>
  <c r="BT10" i="3"/>
  <c r="B21" i="3"/>
  <c r="BH10" i="3"/>
  <c r="AH69" i="4"/>
  <c r="AF69" i="4"/>
  <c r="AF51" i="4"/>
  <c r="AH51" i="4"/>
  <c r="X69" i="4"/>
  <c r="V69" i="4"/>
  <c r="G21" i="3"/>
  <c r="BW10" i="3"/>
  <c r="X112" i="4"/>
  <c r="V112" i="4"/>
  <c r="AR83" i="4"/>
  <c r="AP83" i="4"/>
  <c r="BX10" i="3"/>
  <c r="H21" i="3"/>
  <c r="K20" i="3"/>
  <c r="K21" i="3"/>
  <c r="AP55" i="4"/>
  <c r="AR55" i="4"/>
  <c r="AR69" i="4"/>
  <c r="AP69" i="4"/>
  <c r="X41" i="4"/>
  <c r="V41" i="4"/>
  <c r="AR97" i="4"/>
  <c r="AP97" i="4"/>
  <c r="L21" i="3"/>
  <c r="L20" i="3"/>
  <c r="D21" i="3"/>
  <c r="BN10" i="3"/>
  <c r="M24" i="3" l="1"/>
  <c r="M23" i="3"/>
  <c r="L24" i="3"/>
  <c r="L23" i="3"/>
  <c r="J24" i="3"/>
  <c r="J23" i="3"/>
  <c r="I24" i="3"/>
  <c r="I23" i="3"/>
  <c r="K24" i="3"/>
  <c r="K23" i="3"/>
  <c r="I25" i="3" l="1"/>
  <c r="L25" i="3"/>
  <c r="K25" i="3"/>
  <c r="J25" i="3"/>
  <c r="M25" i="3"/>
</calcChain>
</file>

<file path=xl/sharedStrings.xml><?xml version="1.0" encoding="utf-8"?>
<sst xmlns="http://schemas.openxmlformats.org/spreadsheetml/2006/main" count="1533" uniqueCount="454">
  <si>
    <t>Note à l'attention des utilisateurs :</t>
  </si>
  <si>
    <t>En pratique : après avoir renseigné les valeurs faire F9 pour activer les calculs si pas fait automatiquement</t>
  </si>
  <si>
    <r>
      <rPr>
        <sz val="11"/>
        <rFont val="Arial"/>
        <charset val="1"/>
      </rPr>
      <t xml:space="preserve">Le présent fichier permet d'assurer le </t>
    </r>
    <r>
      <rPr>
        <b/>
        <sz val="11"/>
        <rFont val="Arial"/>
        <charset val="1"/>
      </rPr>
      <t>suivi du remplissage des réserves, toutes les décades en période d'étiage et 1 fois par mois le reste de l'année</t>
    </r>
    <r>
      <rPr>
        <sz val="11"/>
        <rFont val="Arial"/>
        <charset val="1"/>
      </rPr>
      <t xml:space="preserve">. Il est envoyé en début de mois à l'Oieau et la DEB selon le planning du BSH national (date limite vers le 10 du mois n+1 en général) et déposer sur le site internet de la DREAL.
Il fournit pour chaque mois le volume de la réserve en Mm3 et le taux de remplissage en % au regard de la capacité de la réserve.
Il permet de suivre les retenues conventionnées ou non de </t>
    </r>
    <r>
      <rPr>
        <b/>
        <sz val="11"/>
        <rFont val="Arial"/>
        <charset val="1"/>
      </rPr>
      <t>plus de 2 Mm3</t>
    </r>
    <r>
      <rPr>
        <sz val="11"/>
        <rFont val="Arial"/>
        <charset val="1"/>
      </rPr>
      <t xml:space="preserve"> (ou presque à quelques exceptions près).</t>
    </r>
  </si>
  <si>
    <r>
      <rPr>
        <b/>
        <sz val="11"/>
        <rFont val="Arial"/>
        <charset val="1"/>
      </rPr>
      <t xml:space="preserve">A faire en début d'année :
</t>
    </r>
    <r>
      <rPr>
        <sz val="11"/>
        <rFont val="Arial"/>
        <charset val="1"/>
      </rPr>
      <t xml:space="preserve"> - Vérifier les capacités totales ou volumes dédiés à l'étiage = colonne N
 - Préparer les tableaux utilisés pour le BSH = onglet "Bilan_BSH"</t>
    </r>
  </si>
  <si>
    <r>
      <rPr>
        <b/>
        <sz val="11"/>
        <rFont val="Arial"/>
        <charset val="1"/>
      </rPr>
      <t xml:space="preserve">Attention : bien vérifier/corriger les formules du calcul du taux de remplissage </t>
    </r>
    <r>
      <rPr>
        <sz val="11"/>
        <rFont val="Arial"/>
        <charset val="1"/>
      </rPr>
      <t xml:space="preserve">des réserves </t>
    </r>
    <r>
      <rPr>
        <b/>
        <sz val="11"/>
        <rFont val="Arial"/>
        <charset val="1"/>
      </rPr>
      <t>lorsque des données manquent</t>
    </r>
    <r>
      <rPr>
        <sz val="11"/>
        <rFont val="Arial"/>
        <charset val="1"/>
      </rPr>
      <t xml:space="preserve"> ou dans des cas particuliers / système Neste Haute-Montagne
Si pas de données fournies : </t>
    </r>
    <r>
      <rPr>
        <b/>
        <sz val="11"/>
        <rFont val="Arial"/>
        <charset val="1"/>
      </rPr>
      <t>griser la cellule</t>
    </r>
    <r>
      <rPr>
        <sz val="11"/>
        <rFont val="Arial"/>
        <charset val="1"/>
      </rPr>
      <t xml:space="preserve"> et effacer la formule de calcul du taux de remplissage
</t>
    </r>
    <r>
      <rPr>
        <b/>
        <sz val="11"/>
        <rFont val="Arial"/>
        <family val="2"/>
        <charset val="1"/>
      </rPr>
      <t xml:space="preserve">
</t>
    </r>
    <r>
      <rPr>
        <b/>
        <sz val="11"/>
        <rFont val="Arial"/>
        <charset val="1"/>
      </rPr>
      <t>Ne pas modifier le nom des colonnes car lien avec fichier pour carto, le n° de ref des retenues, ne pas supprimer d'onglets déjà nommés</t>
    </r>
  </si>
  <si>
    <r>
      <rPr>
        <sz val="11"/>
        <rFont val="Arial"/>
        <charset val="1"/>
      </rPr>
      <t xml:space="preserve">Les </t>
    </r>
    <r>
      <rPr>
        <b/>
        <sz val="11"/>
        <rFont val="Arial"/>
        <charset val="1"/>
      </rPr>
      <t>réserves sous convention</t>
    </r>
    <r>
      <rPr>
        <sz val="11"/>
        <rFont val="Arial"/>
        <charset val="1"/>
      </rPr>
      <t xml:space="preserve"> (2ème tableau) sont des ouvrages hydroélectriques </t>
    </r>
    <r>
      <rPr>
        <b/>
        <sz val="11"/>
        <rFont val="Arial"/>
        <charset val="1"/>
      </rPr>
      <t>dont une partie du volume est dédiée au soutien d'étiage</t>
    </r>
    <r>
      <rPr>
        <sz val="11"/>
        <rFont val="Arial"/>
        <charset val="1"/>
      </rPr>
      <t xml:space="preserve"> --&gt; la capacité des réserves correspond au volume dédié au soutien d'étiage (la capacité totale des réserves n'étant pas toujours connue / fournie)</t>
    </r>
  </si>
  <si>
    <t>Remarque : il est possible d'avoir un taux de remplissage supérieur à 100 % (cas du Tarn-Aveyron, de Charpal...) dans les cas où la capacité de la réserve correspond au volume utile (côte d'exploitation) et en cas de déversement du barrage.</t>
  </si>
  <si>
    <r>
      <rPr>
        <b/>
        <sz val="11"/>
        <rFont val="Arial"/>
        <charset val="1"/>
      </rPr>
      <t>Lac d'Oo</t>
    </r>
    <r>
      <rPr>
        <sz val="11"/>
        <rFont val="Arial"/>
        <charset val="1"/>
      </rPr>
      <t xml:space="preserve"> : 5 Mm3 dédiés au soutien d'étiage du 01/09 (exceptionnellement du 15/08) au 31/10
IGLS (Izourt – Gnioure - Laparan – Soulcem) : 46 Mm3 dédiés au soutien d'étiage du 15/06 au 31/10
</t>
    </r>
    <r>
      <rPr>
        <b/>
        <sz val="11"/>
        <rFont val="Arial"/>
        <charset val="1"/>
      </rPr>
      <t>Pareloup</t>
    </r>
    <r>
      <rPr>
        <sz val="11"/>
        <rFont val="Arial"/>
        <charset val="1"/>
      </rPr>
      <t xml:space="preserve"> : 5 Mm3 dédiés au soutien d'étiage du 01/07 au 31/10 (convention couvrant 2017, 2018 et 2019)
</t>
    </r>
    <r>
      <rPr>
        <b/>
        <sz val="11"/>
        <rFont val="Arial"/>
        <charset val="1"/>
      </rPr>
      <t>Système Neste HAUTE-MONTAGNE</t>
    </r>
    <r>
      <rPr>
        <sz val="11"/>
        <rFont val="Arial"/>
        <charset val="1"/>
      </rPr>
      <t xml:space="preserve"> : 48 Mm3 conventionnés pour les mois de juin à décembre ; 10 Mm3 conventionnés pour le mois de janvier ; 5 Mm3 conventionnés pour le mois de février ; 0 Mm3 pour les mois de mars à mai
</t>
    </r>
    <r>
      <rPr>
        <b/>
        <sz val="11"/>
        <rFont val="Arial"/>
        <charset val="1"/>
      </rPr>
      <t>St-Peyres</t>
    </r>
    <r>
      <rPr>
        <sz val="11"/>
        <rFont val="Arial"/>
        <charset val="1"/>
      </rPr>
      <t xml:space="preserve"> : 20 Mm3 dédiés au soutien d'étiage du 01/07 au 31/10 (convention 2012-2021) ;</t>
    </r>
    <r>
      <rPr>
        <sz val="11"/>
        <color rgb="FFFF0000"/>
        <rFont val="Arial"/>
        <charset val="1"/>
      </rPr>
      <t xml:space="preserve"> </t>
    </r>
    <r>
      <rPr>
        <i/>
        <sz val="11"/>
        <color rgb="FF0000FF"/>
        <rFont val="Arial"/>
        <charset val="1"/>
      </rPr>
      <t>volume total de la réserve affiché dans le tableau de suivi jusqu'en 2017, corrigé à partir de 2018 par le vol dédié à l'étiage pour cohérence avec les autres retenues sous convention (récupérer donnée d'EDF et non plus de la DDT81)</t>
    </r>
  </si>
  <si>
    <r>
      <rPr>
        <b/>
        <sz val="11"/>
        <rFont val="Arial"/>
        <charset val="1"/>
      </rPr>
      <t>Barrage de Miallet</t>
    </r>
    <r>
      <rPr>
        <sz val="11"/>
        <rFont val="Arial"/>
        <charset val="1"/>
      </rPr>
      <t xml:space="preserve"> (info du 27/03/2018) : 
Débit des lâchés pour Janvier et Février est de 60l/s correspond au débit réservé pour ces mois conformément à l’arrêté du 8 Juillet 1992 ; débit réservé pour les autres mois est de 31 l/s (en dehors des débits lâchers pour le soutien d'étiage si besoin).
Capacité totale de la retenue est de 4 952 500 m3 pour un niveau au limni à 298.00 m NGF.</t>
    </r>
  </si>
  <si>
    <r>
      <rPr>
        <sz val="11"/>
        <rFont val="Arial"/>
        <charset val="1"/>
      </rPr>
      <t xml:space="preserve">Barrage </t>
    </r>
    <r>
      <rPr>
        <b/>
        <sz val="11"/>
        <rFont val="Arial"/>
        <charset val="1"/>
      </rPr>
      <t>d'ENTRAYGUES</t>
    </r>
    <r>
      <rPr>
        <sz val="11"/>
        <rFont val="Arial"/>
        <charset val="1"/>
      </rPr>
      <t xml:space="preserve"> : 33 Mm3 dédiés au soutien d'étiage du 01/07 au 31/10, sauf indications contraires</t>
    </r>
  </si>
  <si>
    <t>A partir de l'étiage 2017, ajout de la réserve de Pareloup sur le Vioulou (sous convention - Aveyron) ; gestion par EDF (Hervé Daubeuf) : 5 Mm3 dédiés au soutien d'étiage du 01/07 au 31/10</t>
  </si>
  <si>
    <t>A partir de 2017, suppression de la retenue de MONTBEL dans le tableau : retenue de 60 Mm3 dont 7 Mm3 maxi sont destinés au soutien d'étiage de la Garonne à partir du 15 septembre et sous réserve de garantie de remplissage de la retenue pour l'année suivante (décision sur le volume éventuel accordé prise en cours d'étiage chaque année --&gt; voir Dreal de région pour connaitre le volume mis à dispo chaque année : à préciser dans le BSH)</t>
  </si>
  <si>
    <t>Barrage de Rassisse : d'après les plans initiaux du barrage on avait estimé à 4 Mm3 en plus des 8,5 Mm3 après travaux réalisé en 2015, mais le volume total depuis 2015 = 11,35 Mm3, confirmé avec bathymétrie réalisée en 2015.</t>
  </si>
  <si>
    <t>Ajout de Magnoac, Thérondel, Fourogue, Falquettes, Thuriès et Gréziolles</t>
  </si>
  <si>
    <t>A faire / à voir :</t>
  </si>
  <si>
    <t>Vérifier si le volume des ouvrages = volume total ou utile ou volume de la retenue normale d'exploitation  ?</t>
  </si>
  <si>
    <t>ST FERREOL : capacité totale est de 6.5 mais la Retenue Normale d'exploitation à ne pas dépasser est à ce jour de 347,20 NGF (29.06 m), soit 4 968 000 m3.</t>
  </si>
  <si>
    <t xml:space="preserve">Retenue de Gréziolles : convention avec EDF pour 2,8 Mm3 max de soutien d'étiage --&gt; retenue pas suivie par le passé : voir avec Dreal NA si utile de la rajouter ? </t>
  </si>
  <si>
    <t>Se requestionner sur la liste des réserves suivies : besoin d'en ajouter ?</t>
  </si>
  <si>
    <t>NOM_SBASSIN</t>
  </si>
  <si>
    <t>NOM_RESERVE</t>
  </si>
  <si>
    <t>REF_OVH</t>
  </si>
  <si>
    <t>NOM_COURS_EAU</t>
  </si>
  <si>
    <t>CAPACITE
RESERVE 2009</t>
  </si>
  <si>
    <t>CAPACITE
RESERVE 2010</t>
  </si>
  <si>
    <t>CAPACITE
RESERVE 2011</t>
  </si>
  <si>
    <t>CAPACITE
RESERVE 2012</t>
  </si>
  <si>
    <t>CAPACITE
RESERVE 2013</t>
  </si>
  <si>
    <t>CAPACITE
RESERVE 2014</t>
  </si>
  <si>
    <t>CAPACITE RESERVE 2015</t>
  </si>
  <si>
    <t>CAPACITE RESERVE 2016</t>
  </si>
  <si>
    <t>CAPACITE RESERVE 2017</t>
  </si>
  <si>
    <t>CAPACITE RESERVE 2018</t>
  </si>
  <si>
    <t>CAPACITE RESERVE 2019</t>
  </si>
  <si>
    <t>CAPACITE RESERVE 2020</t>
  </si>
  <si>
    <t>CAPACITE RESERVE 2022</t>
  </si>
  <si>
    <t>CAPACITE RESERVE 2023</t>
  </si>
  <si>
    <t>SOURCE_INFO</t>
  </si>
  <si>
    <t>COMMENTAIRES</t>
  </si>
  <si>
    <t>ADOUR</t>
  </si>
  <si>
    <t>ARRET DARRE</t>
  </si>
  <si>
    <t>ARROS</t>
  </si>
  <si>
    <t>CACG (astreinte GDE)</t>
  </si>
  <si>
    <t>AYGUELONGUE</t>
  </si>
  <si>
    <t>LUY DE BEARN</t>
  </si>
  <si>
    <t>BALAING</t>
  </si>
  <si>
    <t>LUY DE FRANCE</t>
  </si>
  <si>
    <t xml:space="preserve">Mises à jour à faire </t>
  </si>
  <si>
    <t>BROUSSEAU</t>
  </si>
  <si>
    <t>Ajouter la Ravière</t>
  </si>
  <si>
    <t>GABAS</t>
  </si>
  <si>
    <t>Intégrer les culots piscicoles</t>
  </si>
  <si>
    <t>GABASSOT</t>
  </si>
  <si>
    <t>Ajouter les réserves après consultation des DDT</t>
  </si>
  <si>
    <t>HAGETMAU</t>
  </si>
  <si>
    <t>LOUTS</t>
  </si>
  <si>
    <t>LAC BLEU</t>
  </si>
  <si>
    <t>LOUET</t>
  </si>
  <si>
    <t>DUHORT-BACHEN</t>
  </si>
  <si>
    <t>LOURDEN</t>
  </si>
  <si>
    <t>CHARROS</t>
  </si>
  <si>
    <t>MIDOU</t>
  </si>
  <si>
    <t>ST-JEAN</t>
  </si>
  <si>
    <t>DOUZE</t>
  </si>
  <si>
    <t>TOTAL ADOUR</t>
  </si>
  <si>
    <t>CHARENTE</t>
  </si>
  <si>
    <t>LAVAUD / MAS CHABAN</t>
  </si>
  <si>
    <t>CD16 (Nathalie DESBOIS)</t>
  </si>
  <si>
    <t>DORDOGNE</t>
  </si>
  <si>
    <t>MIALLET</t>
  </si>
  <si>
    <t>DRONNE</t>
  </si>
  <si>
    <t>SOGEDO ( Jean-Benoît DUTILLY)</t>
  </si>
  <si>
    <t>GARONNE</t>
  </si>
  <si>
    <t>BALERME</t>
  </si>
  <si>
    <t>GIROU</t>
  </si>
  <si>
    <t>Réseau 31 (Mélanie Bénazet)</t>
  </si>
  <si>
    <t>BRAYSSOU</t>
  </si>
  <si>
    <t>DROPT</t>
  </si>
  <si>
    <t>FABAS</t>
  </si>
  <si>
    <t>TOUCH</t>
  </si>
  <si>
    <t>SIAHT</t>
  </si>
  <si>
    <t>FILHEIT</t>
  </si>
  <si>
    <t>ARIZE</t>
  </si>
  <si>
    <t>SMDEA09 (Xavier Roujat)</t>
  </si>
  <si>
    <t xml:space="preserve">GANGUISE </t>
  </si>
  <si>
    <t>GANGUISE</t>
  </si>
  <si>
    <t>BRL exploitation (+IEMN)</t>
  </si>
  <si>
    <t>LA BURE</t>
  </si>
  <si>
    <t>LARAGOU</t>
  </si>
  <si>
    <t>LESCOURROUX</t>
  </si>
  <si>
    <t>MONDELY</t>
  </si>
  <si>
    <t>LEZE</t>
  </si>
  <si>
    <t>SMAHVL (Chantal CHAUVIN /  David COMMINGES)</t>
  </si>
  <si>
    <t>MONTBEL</t>
  </si>
  <si>
    <t>HERS VIF</t>
  </si>
  <si>
    <t>IIABM</t>
  </si>
  <si>
    <t>SAVERES</t>
  </si>
  <si>
    <t>TOTAL GARONNE</t>
  </si>
  <si>
    <t>NESTE</t>
  </si>
  <si>
    <t>ASTARAC</t>
  </si>
  <si>
    <t>ARRATS</t>
  </si>
  <si>
    <t xml:space="preserve">LA BARADEE </t>
  </si>
  <si>
    <t>GUIROUE</t>
  </si>
  <si>
    <t>LIZET</t>
  </si>
  <si>
    <t>OSSE</t>
  </si>
  <si>
    <t>GIMONE (LUNAX)</t>
  </si>
  <si>
    <t>GIMONE</t>
  </si>
  <si>
    <t>BOUES SERE RUSTAING</t>
  </si>
  <si>
    <t>BOUES</t>
  </si>
  <si>
    <t>MIELAN</t>
  </si>
  <si>
    <t>PUYDARRIEUX</t>
  </si>
  <si>
    <t>BAISE</t>
  </si>
  <si>
    <t>ST-FRAJOU</t>
  </si>
  <si>
    <t>AUSSOUE</t>
  </si>
  <si>
    <t>ST-LAURENT</t>
  </si>
  <si>
    <t>AUZOUE</t>
  </si>
  <si>
    <t>MAGNOAC</t>
  </si>
  <si>
    <t>52</t>
  </si>
  <si>
    <t>GEZE</t>
  </si>
  <si>
    <t>TOTAL NESTE</t>
  </si>
  <si>
    <t>LOT</t>
  </si>
  <si>
    <t>CHARPAL</t>
  </si>
  <si>
    <t>COLAGNE</t>
  </si>
  <si>
    <t>Ville de Mende (Philippe PITOT)</t>
  </si>
  <si>
    <t>TARN_AVEYRON</t>
  </si>
  <si>
    <t>BANCALIE</t>
  </si>
  <si>
    <t>LEZERT</t>
  </si>
  <si>
    <t>DDT81 (Stephane BONNAUD)</t>
  </si>
  <si>
    <t>dont environ 5.5 Mm3 dédiés à l'étiage pour un Vglobal Rassisse+Bancalie de 13Mm3</t>
  </si>
  <si>
    <t>CAMMAZES</t>
  </si>
  <si>
    <t>SOR</t>
  </si>
  <si>
    <t>IEMN (secrétariat)</t>
  </si>
  <si>
    <t>GALAUBE</t>
  </si>
  <si>
    <t>ALZEAU</t>
  </si>
  <si>
    <t>GOUYRE</t>
  </si>
  <si>
    <t>CD82 (Claude DESPLAS-Guillaume BOITIER)</t>
  </si>
  <si>
    <t>RASSISSE</t>
  </si>
  <si>
    <t>DADOU</t>
  </si>
  <si>
    <t>dont environ 7.5 Mm3 dédiés à l'étiage pour un Vglobal Rassisse+Bancalie de 13Mm3</t>
  </si>
  <si>
    <t>ST-FERREOL</t>
  </si>
  <si>
    <t>CANAL MIDI</t>
  </si>
  <si>
    <t>VNF (Belhadj AMRANI)</t>
  </si>
  <si>
    <t>ST-GERAUD</t>
  </si>
  <si>
    <t>CEROU</t>
  </si>
  <si>
    <t>TORDRE</t>
  </si>
  <si>
    <t>FOUROGUE</t>
  </si>
  <si>
    <t>54</t>
  </si>
  <si>
    <t>VERE</t>
  </si>
  <si>
    <t>CD81 (Guillaume Oules)</t>
  </si>
  <si>
    <t>THERONDEL</t>
  </si>
  <si>
    <t>51</t>
  </si>
  <si>
    <t>FALQUETTES</t>
  </si>
  <si>
    <t>53</t>
  </si>
  <si>
    <t>LERE</t>
  </si>
  <si>
    <t>TOTAL TARN AVEYRON</t>
  </si>
  <si>
    <t>ADOUR GARONNE (hors réserves sous convention)</t>
  </si>
  <si>
    <t>Destockage sur l'étiage depuis la date de plus fort remplissage (sans compter les recharges intermédiaires)</t>
  </si>
  <si>
    <t>RESERVES SOUS CONVENTION</t>
  </si>
  <si>
    <t>Destockage sur le mois</t>
  </si>
  <si>
    <t>CAPACITE RESERVE (VOL. POUR ETIAGE) 2009</t>
  </si>
  <si>
    <t>CAPACITE RESERVE (VOL. POUR ETIAGE) 2010</t>
  </si>
  <si>
    <t>CAPACITE RESERVE (VOL. POUR ETIAGE) 2011</t>
  </si>
  <si>
    <t>CAPACITE RESERVE (VOL. POUR ETIAGE) 2012</t>
  </si>
  <si>
    <t>CAPACITE RESERVE (VOL. POUR ETIAGE) 2013</t>
  </si>
  <si>
    <t>CAPACITE RESERVE (VOL. POUR ETIAGE) 2014</t>
  </si>
  <si>
    <t>CAPACITE RESERVE (VOL. POUR ETIAGE) 2015</t>
  </si>
  <si>
    <t>CAPACITE RESERVE (VOL. POUR ETIAGE) 2016</t>
  </si>
  <si>
    <t>CAPACITE RESERVE (VOL. POUR ETIAGE) 2017</t>
  </si>
  <si>
    <t>CAPACITE RESERVE (VOL. POUR ETIAGE) 2018</t>
  </si>
  <si>
    <t>CAPACITE RESERVE (VOL. POUR ETIAGE) 2019</t>
  </si>
  <si>
    <t>CAPACITE RESERVE (VOL. POUR ETIAGE) 2020</t>
  </si>
  <si>
    <t>CAPACITE RESERVE (VOL. POUR ETIAGE) 2022</t>
  </si>
  <si>
    <t>CAPACITE RESERVE (VOL. POUR ETIAGE) 2023</t>
  </si>
  <si>
    <t>Période de conventionnement</t>
  </si>
  <si>
    <t>THURIES</t>
  </si>
  <si>
    <t>50</t>
  </si>
  <si>
    <t>VIAUR</t>
  </si>
  <si>
    <t>EDF Hydro Sud Ouest (Florence ARDORINO)</t>
  </si>
  <si>
    <t>01/07 au 31/10 (1,1Mm3)</t>
  </si>
  <si>
    <t>ENTRAYGUES</t>
  </si>
  <si>
    <t>TRUYERE</t>
  </si>
  <si>
    <t>EDF - Groupe Exploitation Lot-Truyère (Christophe CHARENTON)</t>
  </si>
  <si>
    <t>01/07 au 31/10 (33Mm3)</t>
  </si>
  <si>
    <t>TARN</t>
  </si>
  <si>
    <t>ST-PEYRES</t>
  </si>
  <si>
    <t>AGOUT</t>
  </si>
  <si>
    <t>01/07 au 31/10 (dont 2,5Mm3 pour la Garonne et 20Mm3 pour le Tarn)</t>
  </si>
  <si>
    <t>AVEYRON</t>
  </si>
  <si>
    <t>PARELOUP</t>
  </si>
  <si>
    <t>VIOULOU</t>
  </si>
  <si>
    <t>01/07 au 31/10 (5Mm3)</t>
  </si>
  <si>
    <t>GREZIOLLES</t>
  </si>
  <si>
    <t>ADOUR DE GARET</t>
  </si>
  <si>
    <t>institution Adour (Stéphane Simon) / EDF Hydro Sud Ouest (Hervé DAUBEUF)</t>
  </si>
  <si>
    <t>15/07 au 30/09 (2.8Mm3)</t>
  </si>
  <si>
    <t xml:space="preserve">SYSTÈME NESTE HAUTE MONTAGNE - volume déduit de lâchers agricole      </t>
  </si>
  <si>
    <t>NESTE HAUTE-MONTAGNE</t>
  </si>
  <si>
    <t>48Mm3 du 01/06 au 31/12 et sur le volume restant : 10 Mm3 en janvier et 5 Mm3 en février</t>
  </si>
  <si>
    <t>IGLS (EDF)</t>
  </si>
  <si>
    <t>ARIEGE</t>
  </si>
  <si>
    <t>EDF soutien étiage UPSO</t>
  </si>
  <si>
    <t>01/07 (si possible 15/06) au 31/10 (53Mm3)</t>
  </si>
  <si>
    <t>LAC D'OO</t>
  </si>
  <si>
    <t>LA NESTE D'OO</t>
  </si>
  <si>
    <t>8 Mm3 du 01/09 (si possible 15/08) au 31/10</t>
  </si>
  <si>
    <t>TOTAL RESERVES SOUS CONVENTION</t>
  </si>
  <si>
    <r>
      <rPr>
        <sz val="10"/>
        <rFont val="Arial"/>
        <family val="2"/>
        <charset val="1"/>
      </rPr>
  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</t>
    </r>
    <r>
      <rPr>
        <b/>
        <sz val="10"/>
        <rFont val="Arial"/>
        <family val="2"/>
        <charset val="1"/>
      </rPr>
      <t xml:space="preserve">Le volume inscrit correspond au volume acquis non déstocké au soutien d’étiage. Et le taux de remplissage correspond à un taux de disponibilité : Volume acquis / Volume disponible </t>
    </r>
  </si>
  <si>
    <t>Destockage sur l'étiage depuis le 1er juillet</t>
  </si>
  <si>
    <t xml:space="preserve"> </t>
  </si>
  <si>
    <t>OUVRAGES NON CONVENTIONNES</t>
  </si>
  <si>
    <t xml:space="preserve">CAPACITE RESERVE </t>
  </si>
  <si>
    <t>1</t>
  </si>
  <si>
    <t>Janvier</t>
  </si>
  <si>
    <t>Février</t>
  </si>
  <si>
    <t>Mars</t>
  </si>
  <si>
    <t>Avril</t>
  </si>
  <si>
    <t>Mai</t>
  </si>
  <si>
    <t>Juin</t>
  </si>
  <si>
    <t>Juillet</t>
  </si>
  <si>
    <t>10</t>
  </si>
  <si>
    <t>20</t>
  </si>
  <si>
    <t>juillet</t>
  </si>
  <si>
    <t>Aout</t>
  </si>
  <si>
    <t>Septembre</t>
  </si>
  <si>
    <t>Octobre</t>
  </si>
  <si>
    <t>Novembre</t>
  </si>
  <si>
    <t>Décembre</t>
  </si>
  <si>
    <t>Juin 1</t>
  </si>
  <si>
    <t>Juin 10</t>
  </si>
  <si>
    <t>Juin 20</t>
  </si>
  <si>
    <t>Juillet 1</t>
  </si>
  <si>
    <t>Juillet 10</t>
  </si>
  <si>
    <t>juillet 20</t>
  </si>
  <si>
    <t>Aout 1</t>
  </si>
  <si>
    <t>Aout 10</t>
  </si>
  <si>
    <t>Aout 20</t>
  </si>
  <si>
    <t>Septembre 1</t>
  </si>
  <si>
    <t>Septembre 10</t>
  </si>
  <si>
    <t>Septembre 20</t>
  </si>
  <si>
    <t>Octobre 1</t>
  </si>
  <si>
    <t>Octobre 10</t>
  </si>
  <si>
    <t>Octobre 20</t>
  </si>
  <si>
    <t>2017/2018</t>
  </si>
  <si>
    <t>2018/2019</t>
  </si>
  <si>
    <t>2019/2020</t>
  </si>
  <si>
    <t>2020/2021</t>
  </si>
  <si>
    <t>2021/2022</t>
  </si>
  <si>
    <t>2022/2023</t>
  </si>
  <si>
    <t>2023/2024</t>
  </si>
  <si>
    <t>1er juin</t>
  </si>
  <si>
    <t>1er juillet</t>
  </si>
  <si>
    <t>1er août</t>
  </si>
  <si>
    <t>1er septembre</t>
  </si>
  <si>
    <t>1er octobre</t>
  </si>
  <si>
    <t>1er novembre</t>
  </si>
  <si>
    <t>1er décembre</t>
  </si>
  <si>
    <t>1er janvier</t>
  </si>
  <si>
    <t>1er février</t>
  </si>
  <si>
    <t>1er mars</t>
  </si>
  <si>
    <t>1er avril</t>
  </si>
  <si>
    <t>1er mai</t>
  </si>
  <si>
    <t>Minimal</t>
  </si>
  <si>
    <t>Maximal</t>
  </si>
  <si>
    <t>Différence</t>
  </si>
  <si>
    <t>OUVRAGES SOUS CONVENTION</t>
  </si>
  <si>
    <t>Août</t>
  </si>
  <si>
    <t>Janvier-Février</t>
  </si>
  <si>
    <t>01 Mars 2023</t>
  </si>
  <si>
    <t>01 Mars 2022</t>
  </si>
  <si>
    <t>=/= 1er Mars 2023-2022</t>
  </si>
  <si>
    <t>=/= 1er Mars 2023 - 1er Fev 2023</t>
  </si>
  <si>
    <t>01 Février 2023</t>
  </si>
  <si>
    <t>01 Février 2022</t>
  </si>
  <si>
    <t>=/= 1er Fev 2023-2022</t>
  </si>
  <si>
    <t>=/= 1er Fev 2023 - 1er Jan 2023</t>
  </si>
  <si>
    <t>Sous-bassin
(hors réserves sous convention)</t>
  </si>
  <si>
    <t>Taux de remplissage
1er mars 2023 (%)</t>
  </si>
  <si>
    <t>Taux de remplissage
1er mars 2022 (%)</t>
  </si>
  <si>
    <t>Taux de remplissage
1er février 2023 (%)</t>
  </si>
  <si>
    <t>Taux de remplissage
1er février 2022 (%)</t>
  </si>
  <si>
    <t>Taux de remplissage
1er janvier 2023 (%)</t>
  </si>
  <si>
    <t>Remplissage %</t>
  </si>
  <si>
    <t>Remplissage Mm³</t>
  </si>
  <si>
    <t>Différence %</t>
  </si>
  <si>
    <t>Différence Mm³</t>
  </si>
  <si>
    <t>Adour</t>
  </si>
  <si>
    <t>Charente</t>
  </si>
  <si>
    <t>Dordogne</t>
  </si>
  <si>
    <t>Garonne</t>
  </si>
  <si>
    <t>Lot</t>
  </si>
  <si>
    <t>Système Neste</t>
  </si>
  <si>
    <t>Tarn-Aveyron</t>
  </si>
  <si>
    <t>Total non conventionné</t>
  </si>
  <si>
    <t>Total conventionné</t>
  </si>
  <si>
    <t>Mars-Avril</t>
  </si>
  <si>
    <t>01 Mai 2023</t>
  </si>
  <si>
    <t>01 Mai 2022</t>
  </si>
  <si>
    <t>=/= 1er Mai 2023-2022</t>
  </si>
  <si>
    <t>=/= 1er Mai 2023 - 1er Avril 2023</t>
  </si>
  <si>
    <t>01 Avril 2023</t>
  </si>
  <si>
    <t>01 Avril 2022</t>
  </si>
  <si>
    <t>=/= 1er Avril 2023-2022</t>
  </si>
  <si>
    <t>=/= 1er Avril 2023 - 1er Mars 2023</t>
  </si>
  <si>
    <t>Taux de remplissage
1er mai 2023 (%)</t>
  </si>
  <si>
    <t>Taux de remplissage
1er mai 2022 (%)</t>
  </si>
  <si>
    <t>Taux de remplissage
1er avril 2023 (%)</t>
  </si>
  <si>
    <t>Taux de remplissage
1er avril 2022 (%)</t>
  </si>
  <si>
    <t>SUIVI DECADAIRE ETIAGE</t>
  </si>
  <si>
    <t>01 Juin 2023</t>
  </si>
  <si>
    <t>01 Juin 2022</t>
  </si>
  <si>
    <t>=/= 1er Juin 2023-2022</t>
  </si>
  <si>
    <t>=/= 1er Juin 2023 - 1er Mai 2023</t>
  </si>
  <si>
    <t>Taux de remplissage
1er juin 2023 (%)</t>
  </si>
  <si>
    <t>Taux de remplissage
1er juin 2022 (%)</t>
  </si>
  <si>
    <t>Sous-bassin</t>
  </si>
  <si>
    <t>Taux de remplissage
10 juin 2023 (%)</t>
  </si>
  <si>
    <t>Taux de remplissage
20 juin 2023 (%)</t>
  </si>
  <si>
    <t>01 Juillet 2023</t>
  </si>
  <si>
    <t>01 Juillet 2022</t>
  </si>
  <si>
    <t>=/= 1er Juillet 2023-2022</t>
  </si>
  <si>
    <t>=/= 1er Juillet 2023 - 1er Juin 2023</t>
  </si>
  <si>
    <t>10 Juillet 2023</t>
  </si>
  <si>
    <t>10 Juillet 2022</t>
  </si>
  <si>
    <t>=/= 10 Juillet 2023-2022</t>
  </si>
  <si>
    <t>=/= 10 Juillet 2023 - 1er Juillet 2023</t>
  </si>
  <si>
    <t>20 Juillet 2023</t>
  </si>
  <si>
    <t>20 Juillet 2022</t>
  </si>
  <si>
    <t>=/= 20 Juillet 2023-2022</t>
  </si>
  <si>
    <t>=/= 20 Juillet 2023 - 10 Juillet 2023</t>
  </si>
  <si>
    <t>Taux de remplissage
1er juillet 2023 (%)</t>
  </si>
  <si>
    <t>Taux de remplissage
1er juillet 2022 (%)</t>
  </si>
  <si>
    <t>Taux de remplissage
10 juillet 2023 (%)</t>
  </si>
  <si>
    <t>Taux de remplissage
20 juillet 2023 (%)</t>
  </si>
  <si>
    <t>01 Aout 2023</t>
  </si>
  <si>
    <t>01 Aout 2022</t>
  </si>
  <si>
    <t>=/= 1er Aout 2023-2022</t>
  </si>
  <si>
    <t>=/= 1er Aout 2023 - 1er Juillet 2023</t>
  </si>
  <si>
    <t>10 Aout 2023</t>
  </si>
  <si>
    <t>10 Aout 2022</t>
  </si>
  <si>
    <t>=/= 10 Aout 2023-2022</t>
  </si>
  <si>
    <t>=/= 1er Aout 2023 - 10 Août 2023</t>
  </si>
  <si>
    <t>20 Aout 2023</t>
  </si>
  <si>
    <t>20 Aout 2022</t>
  </si>
  <si>
    <t>=/= 20 Aout 2023-2022</t>
  </si>
  <si>
    <t>=/= 10 Aout 2023 - 20 Août 202</t>
  </si>
  <si>
    <t>Taux de remplissage
1er août 2023 (%)</t>
  </si>
  <si>
    <t>Taux de remplissage
1er août 2022 (%)</t>
  </si>
  <si>
    <t>Taux de remplissage
10 aout 2023 (%)</t>
  </si>
  <si>
    <t>Taux de remplissage
20 aout 2023 (%)</t>
  </si>
  <si>
    <t>01 septembre 2023</t>
  </si>
  <si>
    <t>01 septembre 2022</t>
  </si>
  <si>
    <t>10 Septembre 2023</t>
  </si>
  <si>
    <t>10 Septembre 2022</t>
  </si>
  <si>
    <t>=/= 10 Septembre 2023-2022</t>
  </si>
  <si>
    <t>=/= 1er Septembre 2023 - 10 Septembre 2023</t>
  </si>
  <si>
    <t>20 Septembre 2023</t>
  </si>
  <si>
    <t>20 Septembre 2022</t>
  </si>
  <si>
    <t>=/= 20 Septembre 2023-2022</t>
  </si>
  <si>
    <t>"≠ 10 - 20 Septembre 2023</t>
  </si>
  <si>
    <t>Taux de remplissage
1er septembre 2023 (%)</t>
  </si>
  <si>
    <t>Taux de remplissage
1er septembre 2022 (%)</t>
  </si>
  <si>
    <t>Taux de remplissage
1er août 2023%)</t>
  </si>
  <si>
    <t>Taux de remplissage
10 sept 2023 (%)</t>
  </si>
  <si>
    <t>Taux de remplissage
20 sept 2023 (%)</t>
  </si>
  <si>
    <t>01 octobre 2023</t>
  </si>
  <si>
    <t>01 octobre 2022</t>
  </si>
  <si>
    <t>=/= 1er octobre 2023-2022</t>
  </si>
  <si>
    <t>=/= 01/10/2023 - 01/09/2023</t>
  </si>
  <si>
    <t>10 Octobre 2023</t>
  </si>
  <si>
    <t>10 Octobre 2022</t>
  </si>
  <si>
    <t>=/= 10 Octobre 2023-2022</t>
  </si>
  <si>
    <t>=/= 1er Octobre 2023 - 10 Octobre 2023</t>
  </si>
  <si>
    <t>20 Octobre 2023</t>
  </si>
  <si>
    <t>20 Octobre 2022</t>
  </si>
  <si>
    <t>=/= 20 Octobre 2023-2022</t>
  </si>
  <si>
    <t>"≠ 10 - 20 octobre 2023</t>
  </si>
  <si>
    <t>Taux de remplissage
1er octobre 2023 (%)</t>
  </si>
  <si>
    <t>Taux de remplissage
1er octobre 2022 (%)</t>
  </si>
  <si>
    <t>Taux de remplissage
10 oct 2023 (%)</t>
  </si>
  <si>
    <t>Taux de remplissage
20 oct 2023 (%)</t>
  </si>
  <si>
    <t>Jusqu’au 31/10</t>
  </si>
  <si>
    <t>Jusqu’au 31/12</t>
  </si>
  <si>
    <t>01 novembre 2023</t>
  </si>
  <si>
    <t>01 novembre 2022</t>
  </si>
  <si>
    <t>=/= 1er novembre 2023-2022</t>
  </si>
  <si>
    <t>== 01/11/2023 - 20/10/2023</t>
  </si>
  <si>
    <t>Taux de remplissage
1er novembre 2023 (%)</t>
  </si>
  <si>
    <t>Taux de remplissage
1er novembre 2022 (%)</t>
  </si>
  <si>
    <t>Novembre-Décembre</t>
  </si>
  <si>
    <r>
      <rPr>
        <b/>
        <sz val="10"/>
        <rFont val="Arial"/>
        <charset val="1"/>
      </rPr>
      <t>Taux de remplissage
1</t>
    </r>
    <r>
      <rPr>
        <b/>
        <vertAlign val="superscript"/>
        <sz val="10"/>
        <rFont val="Arial"/>
        <charset val="1"/>
      </rPr>
      <t>er</t>
    </r>
    <r>
      <rPr>
        <b/>
        <sz val="10"/>
        <rFont val="Arial"/>
        <charset val="1"/>
      </rPr>
      <t xml:space="preserve"> janvier 2024 (%)</t>
    </r>
  </si>
  <si>
    <t>Taux de remplissage
1er décembre 2023 (%)</t>
  </si>
  <si>
    <t>Taux de remplissage
1er décembre 2022 (%)</t>
  </si>
  <si>
    <t>Capacite_max</t>
  </si>
  <si>
    <t>Remplissage</t>
  </si>
  <si>
    <t>Taux de remplissage</t>
  </si>
  <si>
    <t>fdhtjhwdhg;uc</t>
  </si>
  <si>
    <t>CODE_ROE</t>
  </si>
  <si>
    <t>Commentaires</t>
  </si>
  <si>
    <t>ROE46508</t>
  </si>
  <si>
    <t>ROE14350</t>
  </si>
  <si>
    <t>ROE40282</t>
  </si>
  <si>
    <t>ROE44164</t>
  </si>
  <si>
    <t>ROE29010</t>
  </si>
  <si>
    <t>ROE18096</t>
  </si>
  <si>
    <t>ROE45402</t>
  </si>
  <si>
    <t>ROE28324</t>
  </si>
  <si>
    <t>ROE4902</t>
  </si>
  <si>
    <t>ROE19770</t>
  </si>
  <si>
    <t>ROE48670</t>
  </si>
  <si>
    <t>ROE4887</t>
  </si>
  <si>
    <t>ROE4905</t>
  </si>
  <si>
    <t>ROE16116</t>
  </si>
  <si>
    <t>ROE76176</t>
  </si>
  <si>
    <t>ROE17017</t>
  </si>
  <si>
    <t>ROE33893</t>
  </si>
  <si>
    <t>ROE17997</t>
  </si>
  <si>
    <t>ROE1903</t>
  </si>
  <si>
    <t>ROE45049</t>
  </si>
  <si>
    <t>ROE30699</t>
  </si>
  <si>
    <t>ROE49261</t>
  </si>
  <si>
    <t>ROE46371</t>
  </si>
  <si>
    <t>ROE16758</t>
  </si>
  <si>
    <t>ROE47389</t>
  </si>
  <si>
    <t>ROE4924</t>
  </si>
  <si>
    <t>ROE12733</t>
  </si>
  <si>
    <t>ROE35089</t>
  </si>
  <si>
    <t>ROE46238</t>
  </si>
  <si>
    <t>ROE3651</t>
  </si>
  <si>
    <t>ROE36407</t>
  </si>
  <si>
    <t>ROE51456 + ROE51454</t>
  </si>
  <si>
    <t>ROE43410</t>
  </si>
  <si>
    <t>ROE15652</t>
  </si>
  <si>
    <t>ROE6866</t>
  </si>
  <si>
    <t>ROE46372</t>
  </si>
  <si>
    <t>ROE71490</t>
  </si>
  <si>
    <t>ROE15766</t>
  </si>
  <si>
    <t>ROE20094</t>
  </si>
  <si>
    <t>ROE50230</t>
  </si>
  <si>
    <t>ROE13868</t>
  </si>
  <si>
    <t>ROE46373</t>
  </si>
  <si>
    <t>ROE19940</t>
  </si>
  <si>
    <t>ROE35102</t>
  </si>
  <si>
    <t>ROE30639</t>
  </si>
  <si>
    <t>ROE75701</t>
  </si>
  <si>
    <t>ROE17913</t>
  </si>
  <si>
    <t>ROE12768</t>
  </si>
  <si>
    <t>ROE15728</t>
  </si>
  <si>
    <t>ROE18413</t>
  </si>
  <si>
    <t>ROE16302</t>
  </si>
  <si>
    <t>ROE14003</t>
  </si>
  <si>
    <t>ROE16757</t>
  </si>
  <si>
    <t xml:space="preserve">Droits conventionnels cumulés de l'Entente (théorique sans plafonnement des droits) </t>
  </si>
  <si>
    <t xml:space="preserve">Volume cumulé déstocké de soutien d'étiage </t>
  </si>
  <si>
    <t xml:space="preserve">Bilan saisonnier réel (avec plafonnement des droits à 33Mm3)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</si>
</sst>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\ %"/>
    <numFmt numFmtId="165" formatCode="dd/mm/yy;@"/>
    <numFmt numFmtId="166" formatCode="0.0%"/>
    <numFmt numFmtId="167" formatCode="0.0"/>
    <numFmt numFmtId="168" formatCode="0.0000"/>
    <numFmt numFmtId="169" formatCode="0.000"/>
    <numFmt numFmtId="170" formatCode="0.00\ %"/>
    <numFmt numFmtId="171" formatCode="#,##0.0"/>
  </numFmts>
  <fonts count="31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Arial"/>
      <charset val="1"/>
    </font>
    <font>
      <b/>
      <sz val="11"/>
      <name val="Arial"/>
      <charset val="1"/>
    </font>
    <font>
      <sz val="11"/>
      <color rgb="FFFF0000"/>
      <name val="Arial"/>
      <charset val="1"/>
    </font>
    <font>
      <i/>
      <sz val="11"/>
      <color rgb="FF0000FF"/>
      <name val="Arial"/>
      <charset val="1"/>
    </font>
    <font>
      <b/>
      <sz val="10"/>
      <name val="Arial"/>
      <family val="2"/>
      <charset val="1"/>
    </font>
    <font>
      <i/>
      <sz val="10"/>
      <color rgb="FF96969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0"/>
      <color rgb="FF993366"/>
      <name val="Arial"/>
      <family val="2"/>
      <charset val="1"/>
    </font>
    <font>
      <b/>
      <i/>
      <sz val="10"/>
      <color rgb="FF969696"/>
      <name val="Arial"/>
      <family val="2"/>
      <charset val="1"/>
    </font>
    <font>
      <sz val="10"/>
      <name val="Arial Unicode MS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C0C0C0"/>
      <name val="Arial"/>
      <family val="2"/>
      <charset val="1"/>
    </font>
    <font>
      <b/>
      <sz val="10"/>
      <color rgb="FF0000FF"/>
      <name val="Arial"/>
      <family val="2"/>
      <charset val="1"/>
    </font>
    <font>
      <i/>
      <sz val="10"/>
      <color rgb="FFA6A6A6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color rgb="FF800080"/>
      <name val="Arial"/>
      <family val="2"/>
      <charset val="1"/>
    </font>
    <font>
      <b/>
      <sz val="10"/>
      <color rgb="FF808080"/>
      <name val="Arial"/>
      <family val="2"/>
      <charset val="1"/>
    </font>
    <font>
      <sz val="10"/>
      <color rgb="FF808080"/>
      <name val="Arial"/>
      <family val="2"/>
      <charset val="1"/>
    </font>
    <font>
      <b/>
      <sz val="10"/>
      <color rgb="FF0000FF"/>
      <name val="Arial"/>
      <charset val="1"/>
    </font>
    <font>
      <b/>
      <sz val="10"/>
      <color rgb="FF800080"/>
      <name val="Arial"/>
      <charset val="1"/>
    </font>
    <font>
      <b/>
      <sz val="10"/>
      <color rgb="FFFF0000"/>
      <name val="Arial"/>
      <charset val="1"/>
    </font>
    <font>
      <b/>
      <sz val="22"/>
      <name val="Arial"/>
      <family val="2"/>
      <charset val="1"/>
    </font>
    <font>
      <b/>
      <sz val="10"/>
      <name val="Arial"/>
      <charset val="1"/>
    </font>
    <font>
      <b/>
      <vertAlign val="superscript"/>
      <sz val="10"/>
      <name val="Arial"/>
      <charset val="1"/>
    </font>
  </fonts>
  <fills count="25">
    <fill>
      <patternFill patternType="none"/>
    </fill>
    <fill>
      <patternFill patternType="gray125"/>
    </fill>
    <fill>
      <patternFill patternType="solid">
        <fgColor rgb="FFFFFF99"/>
        <bgColor rgb="FFFFFFA6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38"/>
      </patternFill>
    </fill>
    <fill>
      <patternFill patternType="solid">
        <fgColor rgb="FF333333"/>
        <bgColor rgb="FF333300"/>
      </patternFill>
    </fill>
    <fill>
      <patternFill patternType="solid">
        <fgColor rgb="FFBABABA"/>
        <bgColor rgb="FFBFBFBF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BABABA"/>
      </patternFill>
    </fill>
    <fill>
      <patternFill patternType="solid">
        <fgColor rgb="FFFFF2CC"/>
        <bgColor rgb="FFFFFBCC"/>
      </patternFill>
    </fill>
    <fill>
      <patternFill patternType="solid">
        <fgColor rgb="FFFF7B59"/>
        <bgColor rgb="FFFF6D6D"/>
      </patternFill>
    </fill>
    <fill>
      <patternFill patternType="solid">
        <fgColor rgb="FFFF8000"/>
        <bgColor rgb="FFED7D31"/>
      </patternFill>
    </fill>
    <fill>
      <patternFill patternType="solid">
        <fgColor rgb="FFC0C0C0"/>
        <bgColor rgb="FFBFBFBF"/>
      </patternFill>
    </fill>
    <fill>
      <patternFill patternType="solid">
        <fgColor rgb="FFA6A6A6"/>
        <bgColor rgb="FFA5A5A5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DEE6EF"/>
        <bgColor rgb="FFD9D9D9"/>
      </patternFill>
    </fill>
    <fill>
      <patternFill patternType="solid">
        <fgColor rgb="FFFF6D6D"/>
        <bgColor rgb="FFFF7B59"/>
      </patternFill>
    </fill>
    <fill>
      <patternFill patternType="solid">
        <fgColor rgb="FF81D41A"/>
        <bgColor rgb="FFA9D18E"/>
      </patternFill>
    </fill>
    <fill>
      <patternFill patternType="solid">
        <fgColor rgb="FFB4C7DC"/>
        <bgColor rgb="FFC0C0C0"/>
      </patternFill>
    </fill>
    <fill>
      <patternFill patternType="solid">
        <fgColor rgb="FFFFD7D7"/>
        <bgColor rgb="FFD9D9D9"/>
      </patternFill>
    </fill>
    <fill>
      <patternFill patternType="solid">
        <fgColor rgb="FFFFFFA6"/>
        <bgColor rgb="FFFFFF99"/>
      </patternFill>
    </fill>
    <fill>
      <patternFill patternType="solid">
        <fgColor rgb="FFE8F2A1"/>
        <bgColor rgb="FFFFFFA6"/>
      </patternFill>
    </fill>
    <fill>
      <patternFill patternType="solid">
        <fgColor rgb="FFFFCC00"/>
        <bgColor rgb="FFFFC000"/>
      </patternFill>
    </fill>
    <fill>
      <patternFill patternType="solid">
        <fgColor rgb="FFFFFBCC"/>
        <bgColor rgb="FFFFF2CC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164" fontId="10" fillId="0" borderId="0" applyBorder="0" applyProtection="0"/>
  </cellStyleXfs>
  <cellXfs count="464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8" fillId="0" borderId="0" xfId="0" applyFont="1"/>
    <xf numFmtId="0" fontId="9" fillId="3" borderId="5" xfId="2" applyNumberFormat="1" applyFont="1" applyFill="1" applyBorder="1" applyAlignment="1" applyProtection="1">
      <alignment horizontal="center" vertical="center"/>
    </xf>
    <xf numFmtId="0" fontId="9" fillId="3" borderId="6" xfId="2" applyNumberFormat="1" applyFont="1" applyFill="1" applyBorder="1" applyAlignment="1" applyProtection="1">
      <alignment horizontal="center" vertical="center"/>
    </xf>
    <xf numFmtId="0" fontId="9" fillId="3" borderId="7" xfId="2" applyNumberFormat="1" applyFont="1" applyFill="1" applyBorder="1" applyAlignment="1" applyProtection="1">
      <alignment horizontal="center" vertical="center" wrapText="1"/>
    </xf>
    <xf numFmtId="0" fontId="9" fillId="3" borderId="8" xfId="2" applyNumberFormat="1" applyFont="1" applyFill="1" applyBorder="1" applyAlignment="1" applyProtection="1">
      <alignment horizontal="center" vertical="center" wrapText="1"/>
    </xf>
    <xf numFmtId="0" fontId="9" fillId="3" borderId="6" xfId="2" applyNumberFormat="1" applyFont="1" applyFill="1" applyBorder="1" applyAlignment="1" applyProtection="1">
      <alignment horizontal="center" vertical="center" wrapText="1"/>
    </xf>
    <xf numFmtId="0" fontId="9" fillId="3" borderId="9" xfId="2" applyNumberFormat="1" applyFont="1" applyFill="1" applyBorder="1" applyAlignment="1" applyProtection="1">
      <alignment horizontal="center" vertical="center" wrapText="1"/>
    </xf>
    <xf numFmtId="0" fontId="9" fillId="3" borderId="10" xfId="2" applyNumberFormat="1" applyFont="1" applyFill="1" applyBorder="1" applyAlignment="1" applyProtection="1">
      <alignment horizontal="center" vertical="center" wrapText="1"/>
    </xf>
    <xf numFmtId="0" fontId="9" fillId="3" borderId="11" xfId="2" applyNumberFormat="1" applyFont="1" applyFill="1" applyBorder="1" applyAlignment="1" applyProtection="1">
      <alignment horizontal="center" vertical="center" wrapText="1"/>
    </xf>
    <xf numFmtId="165" fontId="7" fillId="3" borderId="11" xfId="0" applyNumberFormat="1" applyFont="1" applyFill="1" applyBorder="1" applyAlignment="1">
      <alignment vertical="center"/>
    </xf>
    <xf numFmtId="14" fontId="7" fillId="3" borderId="12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3" xfId="2" applyNumberFormat="1" applyFont="1" applyBorder="1" applyAlignment="1" applyProtection="1">
      <alignment wrapText="1"/>
    </xf>
    <xf numFmtId="0" fontId="11" fillId="0" borderId="14" xfId="2" applyNumberFormat="1" applyFont="1" applyBorder="1" applyAlignment="1" applyProtection="1">
      <alignment wrapText="1"/>
    </xf>
    <xf numFmtId="0" fontId="11" fillId="0" borderId="14" xfId="2" applyNumberFormat="1" applyFont="1" applyBorder="1" applyAlignment="1" applyProtection="1">
      <alignment horizontal="center" wrapText="1"/>
    </xf>
    <xf numFmtId="0" fontId="12" fillId="0" borderId="15" xfId="2" applyNumberFormat="1" applyFont="1" applyBorder="1" applyAlignment="1" applyProtection="1">
      <alignment wrapText="1"/>
    </xf>
    <xf numFmtId="0" fontId="11" fillId="0" borderId="16" xfId="2" applyNumberFormat="1" applyFont="1" applyBorder="1" applyAlignment="1" applyProtection="1">
      <alignment horizontal="right" wrapText="1"/>
    </xf>
    <xf numFmtId="0" fontId="11" fillId="0" borderId="17" xfId="2" applyNumberFormat="1" applyFont="1" applyBorder="1" applyAlignment="1" applyProtection="1">
      <alignment horizontal="right" wrapText="1"/>
    </xf>
    <xf numFmtId="0" fontId="11" fillId="0" borderId="18" xfId="2" applyNumberFormat="1" applyFont="1" applyBorder="1" applyAlignment="1" applyProtection="1">
      <alignment horizontal="right" wrapText="1"/>
    </xf>
    <xf numFmtId="0" fontId="11" fillId="0" borderId="19" xfId="2" applyNumberFormat="1" applyFont="1" applyBorder="1" applyAlignment="1" applyProtection="1">
      <alignment horizontal="right" wrapText="1"/>
    </xf>
    <xf numFmtId="0" fontId="11" fillId="0" borderId="20" xfId="2" applyNumberFormat="1" applyFont="1" applyBorder="1" applyAlignment="1" applyProtection="1">
      <alignment horizontal="right" wrapText="1"/>
    </xf>
    <xf numFmtId="2" fontId="0" fillId="0" borderId="21" xfId="0" applyNumberFormat="1" applyBorder="1"/>
    <xf numFmtId="166" fontId="13" fillId="0" borderId="22" xfId="2" applyNumberFormat="1" applyFont="1" applyBorder="1" applyAlignment="1" applyProtection="1">
      <alignment horizontal="right" wrapText="1"/>
    </xf>
    <xf numFmtId="0" fontId="0" fillId="0" borderId="1" xfId="0" applyBorder="1" applyAlignment="1">
      <alignment vertical="center"/>
    </xf>
    <xf numFmtId="0" fontId="11" fillId="0" borderId="23" xfId="2" applyNumberFormat="1" applyFont="1" applyBorder="1" applyAlignment="1" applyProtection="1">
      <alignment wrapText="1"/>
    </xf>
    <xf numFmtId="0" fontId="11" fillId="0" borderId="1" xfId="2" applyNumberFormat="1" applyFont="1" applyBorder="1" applyAlignment="1" applyProtection="1">
      <alignment wrapText="1"/>
    </xf>
    <xf numFmtId="0" fontId="11" fillId="0" borderId="1" xfId="2" applyNumberFormat="1" applyFont="1" applyBorder="1" applyAlignment="1" applyProtection="1">
      <alignment horizontal="center" wrapText="1"/>
    </xf>
    <xf numFmtId="0" fontId="12" fillId="0" borderId="24" xfId="2" applyNumberFormat="1" applyFont="1" applyBorder="1" applyAlignment="1" applyProtection="1">
      <alignment wrapText="1"/>
    </xf>
    <xf numFmtId="0" fontId="11" fillId="0" borderId="3" xfId="2" applyNumberFormat="1" applyFont="1" applyBorder="1" applyAlignment="1" applyProtection="1">
      <alignment horizontal="right" wrapText="1"/>
    </xf>
    <xf numFmtId="0" fontId="11" fillId="0" borderId="1" xfId="2" applyNumberFormat="1" applyFont="1" applyBorder="1" applyAlignment="1" applyProtection="1">
      <alignment horizontal="right" wrapText="1"/>
    </xf>
    <xf numFmtId="0" fontId="11" fillId="0" borderId="25" xfId="2" applyNumberFormat="1" applyFont="1" applyBorder="1" applyAlignment="1" applyProtection="1">
      <alignment horizontal="right" wrapText="1"/>
    </xf>
    <xf numFmtId="2" fontId="11" fillId="0" borderId="26" xfId="2" applyNumberFormat="1" applyFont="1" applyBorder="1" applyAlignment="1" applyProtection="1">
      <alignment horizontal="right" wrapText="1"/>
    </xf>
    <xf numFmtId="2" fontId="11" fillId="0" borderId="27" xfId="2" applyNumberFormat="1" applyFont="1" applyBorder="1" applyAlignment="1" applyProtection="1">
      <alignment horizontal="right" wrapText="1"/>
    </xf>
    <xf numFmtId="2" fontId="0" fillId="0" borderId="23" xfId="0" applyNumberFormat="1" applyBorder="1"/>
    <xf numFmtId="166" fontId="13" fillId="0" borderId="24" xfId="2" applyNumberFormat="1" applyFont="1" applyBorder="1" applyAlignment="1" applyProtection="1">
      <alignment horizontal="right" wrapText="1"/>
    </xf>
    <xf numFmtId="0" fontId="8" fillId="4" borderId="0" xfId="0" applyFont="1" applyFill="1"/>
    <xf numFmtId="0" fontId="0" fillId="4" borderId="0" xfId="0" applyFill="1"/>
    <xf numFmtId="2" fontId="0" fillId="0" borderId="0" xfId="0" applyNumberFormat="1"/>
    <xf numFmtId="0" fontId="11" fillId="0" borderId="28" xfId="2" applyNumberFormat="1" applyFont="1" applyBorder="1" applyAlignment="1" applyProtection="1">
      <alignment wrapText="1"/>
    </xf>
    <xf numFmtId="0" fontId="11" fillId="0" borderId="29" xfId="2" applyNumberFormat="1" applyFont="1" applyBorder="1" applyAlignment="1" applyProtection="1">
      <alignment wrapText="1"/>
    </xf>
    <xf numFmtId="0" fontId="11" fillId="0" borderId="29" xfId="2" applyNumberFormat="1" applyFont="1" applyBorder="1" applyAlignment="1" applyProtection="1">
      <alignment horizontal="center" wrapText="1"/>
    </xf>
    <xf numFmtId="0" fontId="12" fillId="0" borderId="30" xfId="2" applyNumberFormat="1" applyFont="1" applyBorder="1" applyAlignment="1" applyProtection="1">
      <alignment wrapText="1"/>
    </xf>
    <xf numFmtId="0" fontId="11" fillId="0" borderId="31" xfId="2" applyNumberFormat="1" applyFont="1" applyBorder="1" applyAlignment="1" applyProtection="1">
      <alignment horizontal="right" wrapText="1"/>
    </xf>
    <xf numFmtId="0" fontId="11" fillId="0" borderId="29" xfId="2" applyNumberFormat="1" applyFont="1" applyBorder="1" applyAlignment="1" applyProtection="1">
      <alignment horizontal="right" wrapText="1"/>
    </xf>
    <xf numFmtId="0" fontId="11" fillId="0" borderId="32" xfId="2" applyNumberFormat="1" applyFont="1" applyBorder="1" applyAlignment="1" applyProtection="1">
      <alignment horizontal="right" wrapText="1"/>
    </xf>
    <xf numFmtId="2" fontId="11" fillId="0" borderId="33" xfId="2" applyNumberFormat="1" applyFont="1" applyBorder="1" applyAlignment="1" applyProtection="1">
      <alignment horizontal="right" wrapText="1"/>
    </xf>
    <xf numFmtId="2" fontId="11" fillId="0" borderId="34" xfId="2" applyNumberFormat="1" applyFont="1" applyBorder="1" applyAlignment="1" applyProtection="1">
      <alignment horizontal="right" wrapText="1"/>
    </xf>
    <xf numFmtId="2" fontId="0" fillId="0" borderId="28" xfId="0" applyNumberFormat="1" applyBorder="1"/>
    <xf numFmtId="166" fontId="13" fillId="0" borderId="30" xfId="2" applyNumberFormat="1" applyFont="1" applyBorder="1" applyAlignment="1" applyProtection="1">
      <alignment horizontal="right" wrapText="1"/>
    </xf>
    <xf numFmtId="0" fontId="9" fillId="0" borderId="36" xfId="2" applyNumberFormat="1" applyFont="1" applyBorder="1" applyAlignment="1" applyProtection="1">
      <alignment horizontal="center" wrapText="1"/>
    </xf>
    <xf numFmtId="0" fontId="7" fillId="0" borderId="37" xfId="0" applyFont="1" applyBorder="1"/>
    <xf numFmtId="0" fontId="9" fillId="0" borderId="3" xfId="2" applyNumberFormat="1" applyFont="1" applyBorder="1" applyAlignment="1" applyProtection="1">
      <alignment horizontal="right" wrapText="1"/>
    </xf>
    <xf numFmtId="0" fontId="9" fillId="0" borderId="1" xfId="2" applyNumberFormat="1" applyFont="1" applyBorder="1" applyAlignment="1" applyProtection="1">
      <alignment horizontal="right" wrapText="1"/>
    </xf>
    <xf numFmtId="0" fontId="9" fillId="0" borderId="25" xfId="2" applyNumberFormat="1" applyFont="1" applyBorder="1" applyAlignment="1" applyProtection="1">
      <alignment horizontal="right" wrapText="1"/>
    </xf>
    <xf numFmtId="2" fontId="9" fillId="0" borderId="38" xfId="2" applyNumberFormat="1" applyFont="1" applyBorder="1" applyAlignment="1" applyProtection="1">
      <alignment horizontal="right" wrapText="1"/>
    </xf>
    <xf numFmtId="2" fontId="9" fillId="0" borderId="39" xfId="2" applyNumberFormat="1" applyFont="1" applyBorder="1" applyAlignment="1" applyProtection="1">
      <alignment horizontal="right" wrapText="1"/>
    </xf>
    <xf numFmtId="2" fontId="7" fillId="0" borderId="35" xfId="0" applyNumberFormat="1" applyFont="1" applyBorder="1"/>
    <xf numFmtId="166" fontId="13" fillId="0" borderId="37" xfId="2" applyNumberFormat="1" applyFont="1" applyBorder="1" applyAlignment="1" applyProtection="1">
      <alignment horizontal="right" wrapText="1"/>
    </xf>
    <xf numFmtId="0" fontId="7" fillId="0" borderId="1" xfId="0" applyFont="1" applyBorder="1" applyAlignment="1">
      <alignment vertical="center"/>
    </xf>
    <xf numFmtId="0" fontId="14" fillId="0" borderId="0" xfId="0" applyFont="1"/>
    <xf numFmtId="0" fontId="7" fillId="0" borderId="0" xfId="0" applyFont="1"/>
    <xf numFmtId="0" fontId="11" fillId="5" borderId="40" xfId="2" applyNumberFormat="1" applyFont="1" applyFill="1" applyBorder="1" applyAlignment="1" applyProtection="1">
      <alignment wrapText="1"/>
    </xf>
    <xf numFmtId="0" fontId="11" fillId="5" borderId="40" xfId="2" applyNumberFormat="1" applyFont="1" applyFill="1" applyBorder="1" applyAlignment="1" applyProtection="1">
      <alignment horizontal="center" wrapText="1"/>
    </xf>
    <xf numFmtId="0" fontId="0" fillId="5" borderId="40" xfId="0" applyFill="1" applyBorder="1"/>
    <xf numFmtId="0" fontId="11" fillId="5" borderId="17" xfId="2" applyNumberFormat="1" applyFont="1" applyFill="1" applyBorder="1" applyAlignment="1" applyProtection="1">
      <alignment horizontal="right" wrapText="1"/>
    </xf>
    <xf numFmtId="2" fontId="11" fillId="5" borderId="40" xfId="2" applyNumberFormat="1" applyFont="1" applyFill="1" applyBorder="1" applyAlignment="1" applyProtection="1">
      <alignment horizontal="right" wrapText="1"/>
    </xf>
    <xf numFmtId="2" fontId="11" fillId="5" borderId="41" xfId="2" applyNumberFormat="1" applyFont="1" applyFill="1" applyBorder="1" applyAlignment="1" applyProtection="1">
      <alignment horizontal="right" wrapText="1"/>
    </xf>
    <xf numFmtId="2" fontId="0" fillId="5" borderId="42" xfId="0" applyNumberFormat="1" applyFill="1" applyBorder="1"/>
    <xf numFmtId="166" fontId="13" fillId="5" borderId="43" xfId="2" applyNumberFormat="1" applyFont="1" applyFill="1" applyBorder="1" applyAlignment="1" applyProtection="1">
      <alignment horizontal="right" wrapText="1"/>
    </xf>
    <xf numFmtId="0" fontId="0" fillId="5" borderId="1" xfId="0" applyFill="1" applyBorder="1" applyAlignment="1">
      <alignment vertical="center"/>
    </xf>
    <xf numFmtId="0" fontId="9" fillId="0" borderId="5" xfId="2" applyNumberFormat="1" applyFont="1" applyBorder="1" applyAlignment="1" applyProtection="1">
      <alignment wrapText="1"/>
    </xf>
    <xf numFmtId="0" fontId="11" fillId="0" borderId="6" xfId="2" applyNumberFormat="1" applyFont="1" applyBorder="1" applyAlignment="1" applyProtection="1">
      <alignment wrapText="1"/>
    </xf>
    <xf numFmtId="0" fontId="11" fillId="0" borderId="6" xfId="2" applyNumberFormat="1" applyFont="1" applyBorder="1" applyAlignment="1" applyProtection="1">
      <alignment horizontal="center" wrapText="1"/>
    </xf>
    <xf numFmtId="0" fontId="12" fillId="0" borderId="7" xfId="2" applyNumberFormat="1" applyFont="1" applyBorder="1" applyAlignment="1" applyProtection="1">
      <alignment wrapText="1"/>
    </xf>
    <xf numFmtId="0" fontId="7" fillId="0" borderId="1" xfId="2" applyNumberFormat="1" applyFont="1" applyBorder="1" applyAlignment="1" applyProtection="1">
      <alignment horizontal="right" wrapText="1"/>
    </xf>
    <xf numFmtId="0" fontId="7" fillId="0" borderId="25" xfId="2" applyNumberFormat="1" applyFont="1" applyBorder="1" applyAlignment="1" applyProtection="1">
      <alignment horizontal="right" wrapText="1"/>
    </xf>
    <xf numFmtId="2" fontId="7" fillId="0" borderId="10" xfId="2" applyNumberFormat="1" applyFont="1" applyBorder="1" applyAlignment="1" applyProtection="1">
      <alignment horizontal="right" wrapText="1"/>
    </xf>
    <xf numFmtId="2" fontId="7" fillId="0" borderId="11" xfId="2" applyNumberFormat="1" applyFont="1" applyBorder="1" applyAlignment="1" applyProtection="1">
      <alignment horizontal="right" wrapText="1"/>
    </xf>
    <xf numFmtId="2" fontId="7" fillId="0" borderId="5" xfId="0" applyNumberFormat="1" applyFont="1" applyBorder="1"/>
    <xf numFmtId="166" fontId="13" fillId="0" borderId="7" xfId="2" applyNumberFormat="1" applyFont="1" applyBorder="1" applyAlignment="1" applyProtection="1">
      <alignment horizontal="right" wrapText="1"/>
    </xf>
    <xf numFmtId="0" fontId="11" fillId="5" borderId="17" xfId="2" applyNumberFormat="1" applyFont="1" applyFill="1" applyBorder="1" applyAlignment="1" applyProtection="1">
      <alignment wrapText="1"/>
    </xf>
    <xf numFmtId="0" fontId="11" fillId="5" borderId="17" xfId="2" applyNumberFormat="1" applyFont="1" applyFill="1" applyBorder="1" applyAlignment="1" applyProtection="1">
      <alignment horizontal="center" wrapText="1"/>
    </xf>
    <xf numFmtId="0" fontId="0" fillId="5" borderId="17" xfId="0" applyFill="1" applyBorder="1"/>
    <xf numFmtId="0" fontId="11" fillId="5" borderId="1" xfId="2" applyNumberFormat="1" applyFont="1" applyFill="1" applyBorder="1" applyAlignment="1" applyProtection="1">
      <alignment horizontal="right" wrapText="1"/>
    </xf>
    <xf numFmtId="0" fontId="9" fillId="0" borderId="1" xfId="2" applyNumberFormat="1" applyFont="1" applyBorder="1" applyAlignment="1" applyProtection="1">
      <alignment wrapText="1"/>
    </xf>
    <xf numFmtId="0" fontId="12" fillId="0" borderId="1" xfId="2" applyNumberFormat="1" applyFont="1" applyBorder="1" applyAlignment="1" applyProtection="1">
      <alignment wrapText="1"/>
    </xf>
    <xf numFmtId="2" fontId="9" fillId="0" borderId="19" xfId="2" applyNumberFormat="1" applyFont="1" applyBorder="1" applyAlignment="1" applyProtection="1">
      <alignment horizontal="right" wrapText="1"/>
    </xf>
    <xf numFmtId="2" fontId="9" fillId="0" borderId="20" xfId="2" applyNumberFormat="1" applyFont="1" applyBorder="1" applyAlignment="1" applyProtection="1">
      <alignment horizontal="right" wrapText="1"/>
    </xf>
    <xf numFmtId="0" fontId="11" fillId="0" borderId="1" xfId="0" applyFont="1" applyBorder="1" applyAlignment="1">
      <alignment horizontal="left" vertical="center" readingOrder="1"/>
    </xf>
    <xf numFmtId="0" fontId="11" fillId="5" borderId="1" xfId="2" applyNumberFormat="1" applyFont="1" applyFill="1" applyBorder="1" applyAlignment="1" applyProtection="1">
      <alignment wrapText="1"/>
    </xf>
    <xf numFmtId="0" fontId="11" fillId="5" borderId="1" xfId="2" applyNumberFormat="1" applyFont="1" applyFill="1" applyBorder="1" applyAlignment="1" applyProtection="1">
      <alignment horizontal="center" wrapText="1"/>
    </xf>
    <xf numFmtId="0" fontId="0" fillId="5" borderId="1" xfId="0" applyFill="1" applyBorder="1"/>
    <xf numFmtId="0" fontId="11" fillId="5" borderId="25" xfId="2" applyNumberFormat="1" applyFont="1" applyFill="1" applyBorder="1" applyAlignment="1" applyProtection="1">
      <alignment horizontal="right" wrapText="1"/>
    </xf>
    <xf numFmtId="2" fontId="11" fillId="5" borderId="33" xfId="2" applyNumberFormat="1" applyFont="1" applyFill="1" applyBorder="1" applyAlignment="1" applyProtection="1">
      <alignment horizontal="right" wrapText="1"/>
    </xf>
    <xf numFmtId="2" fontId="11" fillId="5" borderId="34" xfId="2" applyNumberFormat="1" applyFont="1" applyFill="1" applyBorder="1" applyAlignment="1" applyProtection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25" xfId="0" applyFont="1" applyBorder="1" applyAlignment="1">
      <alignment horizontal="right" wrapText="1"/>
    </xf>
    <xf numFmtId="2" fontId="11" fillId="0" borderId="19" xfId="0" applyNumberFormat="1" applyFont="1" applyBorder="1" applyAlignment="1">
      <alignment horizontal="right" wrapText="1"/>
    </xf>
    <xf numFmtId="2" fontId="11" fillId="0" borderId="20" xfId="0" applyNumberFormat="1" applyFont="1" applyBorder="1" applyAlignment="1">
      <alignment horizontal="right" wrapText="1"/>
    </xf>
    <xf numFmtId="2" fontId="0" fillId="0" borderId="13" xfId="0" applyNumberFormat="1" applyBorder="1"/>
    <xf numFmtId="166" fontId="13" fillId="0" borderId="15" xfId="2" applyNumberFormat="1" applyFont="1" applyBorder="1" applyAlignment="1" applyProtection="1">
      <alignment horizontal="right" wrapText="1"/>
    </xf>
    <xf numFmtId="0" fontId="0" fillId="0" borderId="0" xfId="0" applyAlignment="1">
      <alignment wrapText="1"/>
    </xf>
    <xf numFmtId="2" fontId="11" fillId="0" borderId="26" xfId="0" applyNumberFormat="1" applyFont="1" applyBorder="1" applyAlignment="1">
      <alignment horizontal="right" wrapText="1"/>
    </xf>
    <xf numFmtId="2" fontId="11" fillId="0" borderId="27" xfId="0" applyNumberFormat="1" applyFont="1" applyBorder="1" applyAlignment="1">
      <alignment horizontal="right" wrapText="1"/>
    </xf>
    <xf numFmtId="0" fontId="11" fillId="0" borderId="40" xfId="0" applyFont="1" applyBorder="1" applyAlignment="1">
      <alignment horizontal="left" vertical="center" readingOrder="1"/>
    </xf>
    <xf numFmtId="16" fontId="8" fillId="0" borderId="0" xfId="0" applyNumberFormat="1" applyFont="1"/>
    <xf numFmtId="14" fontId="8" fillId="0" borderId="0" xfId="0" applyNumberFormat="1" applyFont="1"/>
    <xf numFmtId="2" fontId="0" fillId="0" borderId="42" xfId="0" applyNumberFormat="1" applyBorder="1"/>
    <xf numFmtId="0" fontId="11" fillId="0" borderId="17" xfId="0" applyFont="1" applyBorder="1" applyAlignment="1">
      <alignment horizontal="left" vertical="center" readingOrder="1"/>
    </xf>
    <xf numFmtId="0" fontId="9" fillId="0" borderId="1" xfId="2" applyNumberFormat="1" applyFont="1" applyBorder="1" applyAlignment="1" applyProtection="1">
      <alignment horizontal="center" wrapText="1"/>
    </xf>
    <xf numFmtId="0" fontId="7" fillId="0" borderId="1" xfId="0" applyFont="1" applyBorder="1"/>
    <xf numFmtId="167" fontId="7" fillId="0" borderId="1" xfId="0" applyNumberFormat="1" applyFont="1" applyBorder="1"/>
    <xf numFmtId="167" fontId="7" fillId="0" borderId="25" xfId="0" applyNumberFormat="1" applyFont="1" applyBorder="1"/>
    <xf numFmtId="2" fontId="7" fillId="0" borderId="26" xfId="0" applyNumberFormat="1" applyFont="1" applyBorder="1"/>
    <xf numFmtId="2" fontId="7" fillId="0" borderId="27" xfId="0" applyNumberFormat="1" applyFont="1" applyBorder="1"/>
    <xf numFmtId="2" fontId="11" fillId="5" borderId="26" xfId="2" applyNumberFormat="1" applyFont="1" applyFill="1" applyBorder="1" applyAlignment="1" applyProtection="1">
      <alignment horizontal="right" wrapText="1"/>
    </xf>
    <xf numFmtId="2" fontId="11" fillId="5" borderId="27" xfId="2" applyNumberFormat="1" applyFont="1" applyFill="1" applyBorder="1" applyAlignment="1" applyProtection="1">
      <alignment horizontal="right" wrapText="1"/>
    </xf>
    <xf numFmtId="2" fontId="11" fillId="2" borderId="26" xfId="2" applyNumberFormat="1" applyFont="1" applyFill="1" applyBorder="1" applyAlignment="1" applyProtection="1">
      <alignment horizontal="right" wrapText="1"/>
    </xf>
    <xf numFmtId="2" fontId="9" fillId="0" borderId="26" xfId="2" applyNumberFormat="1" applyFont="1" applyBorder="1" applyAlignment="1" applyProtection="1">
      <alignment horizontal="right" wrapText="1"/>
    </xf>
    <xf numFmtId="2" fontId="9" fillId="0" borderId="27" xfId="2" applyNumberFormat="1" applyFont="1" applyBorder="1" applyAlignment="1" applyProtection="1">
      <alignment horizontal="right" wrapText="1"/>
    </xf>
    <xf numFmtId="2" fontId="7" fillId="0" borderId="26" xfId="2" applyNumberFormat="1" applyFont="1" applyBorder="1" applyAlignment="1" applyProtection="1">
      <alignment horizontal="right" wrapText="1"/>
    </xf>
    <xf numFmtId="2" fontId="7" fillId="0" borderId="27" xfId="2" applyNumberFormat="1" applyFont="1" applyBorder="1" applyAlignment="1" applyProtection="1">
      <alignment horizontal="right" wrapText="1"/>
    </xf>
    <xf numFmtId="0" fontId="7" fillId="0" borderId="5" xfId="0" applyFont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166" fontId="13" fillId="6" borderId="7" xfId="2" applyNumberFormat="1" applyFont="1" applyFill="1" applyBorder="1" applyAlignment="1" applyProtection="1">
      <alignment horizontal="right" wrapText="1"/>
    </xf>
    <xf numFmtId="0" fontId="15" fillId="0" borderId="1" xfId="0" applyFont="1" applyBorder="1" applyAlignment="1">
      <alignment vertical="center"/>
    </xf>
    <xf numFmtId="2" fontId="0" fillId="0" borderId="27" xfId="2" applyNumberFormat="1" applyFont="1" applyBorder="1" applyAlignment="1" applyProtection="1">
      <alignment horizontal="right" wrapText="1"/>
    </xf>
    <xf numFmtId="0" fontId="8" fillId="0" borderId="24" xfId="0" applyFont="1" applyBorder="1" applyAlignment="1">
      <alignment horizontal="left" vertical="center"/>
    </xf>
    <xf numFmtId="0" fontId="0" fillId="0" borderId="1" xfId="0" applyBorder="1"/>
    <xf numFmtId="0" fontId="7" fillId="0" borderId="0" xfId="0" applyFont="1" applyAlignment="1">
      <alignment vertical="center"/>
    </xf>
    <xf numFmtId="2" fontId="14" fillId="0" borderId="0" xfId="0" applyNumberFormat="1" applyFont="1"/>
    <xf numFmtId="0" fontId="0" fillId="5" borderId="29" xfId="0" applyFill="1" applyBorder="1"/>
    <xf numFmtId="0" fontId="0" fillId="5" borderId="29" xfId="0" applyFill="1" applyBorder="1" applyAlignment="1">
      <alignment horizontal="center"/>
    </xf>
    <xf numFmtId="2" fontId="0" fillId="5" borderId="40" xfId="0" applyNumberFormat="1" applyFill="1" applyBorder="1"/>
    <xf numFmtId="2" fontId="0" fillId="5" borderId="41" xfId="0" applyNumberFormat="1" applyFill="1" applyBorder="1"/>
    <xf numFmtId="0" fontId="16" fillId="0" borderId="6" xfId="2" applyNumberFormat="1" applyFont="1" applyBorder="1" applyAlignment="1" applyProtection="1">
      <alignment horizontal="center" wrapText="1"/>
    </xf>
    <xf numFmtId="0" fontId="7" fillId="0" borderId="7" xfId="0" applyFont="1" applyBorder="1"/>
    <xf numFmtId="0" fontId="7" fillId="0" borderId="3" xfId="2" applyNumberFormat="1" applyFont="1" applyBorder="1" applyAlignment="1" applyProtection="1">
      <alignment horizontal="right" wrapText="1"/>
    </xf>
    <xf numFmtId="167" fontId="7" fillId="0" borderId="1" xfId="2" applyNumberFormat="1" applyFont="1" applyBorder="1" applyAlignment="1" applyProtection="1">
      <alignment horizontal="right" wrapText="1"/>
    </xf>
    <xf numFmtId="167" fontId="7" fillId="0" borderId="25" xfId="2" applyNumberFormat="1" applyFont="1" applyBorder="1" applyAlignment="1" applyProtection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2" fontId="20" fillId="0" borderId="0" xfId="0" applyNumberFormat="1" applyFont="1"/>
    <xf numFmtId="0" fontId="20" fillId="0" borderId="0" xfId="0" applyFont="1"/>
    <xf numFmtId="168" fontId="0" fillId="0" borderId="0" xfId="0" applyNumberFormat="1"/>
    <xf numFmtId="0" fontId="19" fillId="7" borderId="5" xfId="2" applyNumberFormat="1" applyFont="1" applyFill="1" applyBorder="1" applyAlignment="1" applyProtection="1">
      <alignment horizontal="center" vertical="center"/>
    </xf>
    <xf numFmtId="0" fontId="19" fillId="7" borderId="6" xfId="2" applyNumberFormat="1" applyFont="1" applyFill="1" applyBorder="1" applyAlignment="1" applyProtection="1">
      <alignment horizontal="center" vertical="center"/>
    </xf>
    <xf numFmtId="0" fontId="19" fillId="7" borderId="7" xfId="2" applyNumberFormat="1" applyFont="1" applyFill="1" applyBorder="1" applyAlignment="1" applyProtection="1">
      <alignment horizontal="center" vertical="center" wrapText="1"/>
    </xf>
    <xf numFmtId="0" fontId="19" fillId="7" borderId="8" xfId="2" applyNumberFormat="1" applyFont="1" applyFill="1" applyBorder="1" applyAlignment="1" applyProtection="1">
      <alignment horizontal="center" vertical="center" wrapText="1"/>
    </xf>
    <xf numFmtId="0" fontId="19" fillId="7" borderId="6" xfId="2" applyNumberFormat="1" applyFont="1" applyFill="1" applyBorder="1" applyAlignment="1" applyProtection="1">
      <alignment horizontal="center" vertical="center" wrapText="1"/>
    </xf>
    <xf numFmtId="0" fontId="19" fillId="7" borderId="9" xfId="2" applyNumberFormat="1" applyFont="1" applyFill="1" applyBorder="1" applyAlignment="1" applyProtection="1">
      <alignment horizontal="center" vertical="center" wrapText="1"/>
    </xf>
    <xf numFmtId="0" fontId="19" fillId="7" borderId="10" xfId="2" applyNumberFormat="1" applyFont="1" applyFill="1" applyBorder="1" applyAlignment="1" applyProtection="1">
      <alignment horizontal="center" vertical="center" wrapText="1"/>
    </xf>
    <xf numFmtId="0" fontId="19" fillId="7" borderId="11" xfId="2" applyNumberFormat="1" applyFont="1" applyFill="1" applyBorder="1" applyAlignment="1" applyProtection="1">
      <alignment horizontal="center" vertical="center" wrapText="1"/>
    </xf>
    <xf numFmtId="165" fontId="19" fillId="7" borderId="11" xfId="0" applyNumberFormat="1" applyFont="1" applyFill="1" applyBorder="1" applyAlignment="1">
      <alignment vertical="center"/>
    </xf>
    <xf numFmtId="14" fontId="19" fillId="7" borderId="12" xfId="0" applyNumberFormat="1" applyFont="1" applyFill="1" applyBorder="1" applyAlignment="1">
      <alignment vertical="center"/>
    </xf>
    <xf numFmtId="0" fontId="7" fillId="7" borderId="44" xfId="0" applyFont="1" applyFill="1" applyBorder="1" applyAlignment="1">
      <alignment horizontal="center" vertical="center"/>
    </xf>
    <xf numFmtId="0" fontId="14" fillId="7" borderId="45" xfId="2" applyNumberFormat="1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22" xfId="2" applyNumberFormat="1" applyFont="1" applyBorder="1" applyAlignment="1" applyProtection="1">
      <alignment wrapText="1"/>
    </xf>
    <xf numFmtId="2" fontId="21" fillId="0" borderId="46" xfId="0" applyNumberFormat="1" applyFont="1" applyBorder="1" applyAlignment="1">
      <alignment horizontal="right" vertical="center"/>
    </xf>
    <xf numFmtId="2" fontId="21" fillId="8" borderId="46" xfId="0" applyNumberFormat="1" applyFont="1" applyFill="1" applyBorder="1" applyAlignment="1">
      <alignment horizontal="right" vertical="center"/>
    </xf>
    <xf numFmtId="166" fontId="13" fillId="8" borderId="24" xfId="1" applyNumberFormat="1" applyFont="1" applyFill="1" applyBorder="1" applyAlignment="1" applyProtection="1">
      <alignment horizontal="right" vertical="center"/>
    </xf>
    <xf numFmtId="2" fontId="21" fillId="0" borderId="23" xfId="0" applyNumberFormat="1" applyFont="1" applyBorder="1" applyAlignment="1">
      <alignment horizontal="right" vertical="center"/>
    </xf>
    <xf numFmtId="2" fontId="21" fillId="9" borderId="23" xfId="0" applyNumberFormat="1" applyFont="1" applyFill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66" fontId="13" fillId="8" borderId="25" xfId="1" applyNumberFormat="1" applyFont="1" applyFill="1" applyBorder="1" applyAlignment="1" applyProtection="1">
      <alignment horizontal="right" vertical="center"/>
    </xf>
    <xf numFmtId="0" fontId="0" fillId="0" borderId="13" xfId="0" applyBorder="1" applyAlignment="1">
      <alignment vertical="center"/>
    </xf>
    <xf numFmtId="0" fontId="21" fillId="10" borderId="17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2" fontId="21" fillId="0" borderId="47" xfId="0" applyNumberFormat="1" applyFont="1" applyBorder="1" applyAlignment="1">
      <alignment horizontal="right" vertical="center"/>
    </xf>
    <xf numFmtId="2" fontId="21" fillId="11" borderId="46" xfId="0" applyNumberFormat="1" applyFont="1" applyFill="1" applyBorder="1" applyAlignment="1">
      <alignment horizontal="right" vertical="center"/>
    </xf>
    <xf numFmtId="166" fontId="13" fillId="11" borderId="24" xfId="1" applyNumberFormat="1" applyFont="1" applyFill="1" applyBorder="1" applyAlignment="1" applyProtection="1">
      <alignment horizontal="right" vertical="center"/>
    </xf>
    <xf numFmtId="166" fontId="13" fillId="11" borderId="24" xfId="2" applyNumberFormat="1" applyFont="1" applyFill="1" applyBorder="1" applyAlignment="1" applyProtection="1">
      <alignment horizontal="right" wrapText="1"/>
    </xf>
    <xf numFmtId="0" fontId="11" fillId="0" borderId="23" xfId="0" applyFont="1" applyBorder="1" applyAlignment="1">
      <alignment horizontal="left" vertical="center" readingOrder="1"/>
    </xf>
    <xf numFmtId="0" fontId="21" fillId="0" borderId="2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4" xfId="2" applyNumberFormat="1" applyFont="1" applyBorder="1" applyAlignment="1" applyProtection="1">
      <alignment vertical="center" wrapText="1"/>
    </xf>
    <xf numFmtId="0" fontId="21" fillId="0" borderId="3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2" fontId="21" fillId="0" borderId="26" xfId="0" applyNumberFormat="1" applyFont="1" applyBorder="1" applyAlignment="1">
      <alignment horizontal="right" vertical="center"/>
    </xf>
    <xf numFmtId="2" fontId="21" fillId="0" borderId="27" xfId="0" applyNumberFormat="1" applyFont="1" applyBorder="1" applyAlignment="1">
      <alignment horizontal="right" vertical="center"/>
    </xf>
    <xf numFmtId="166" fontId="13" fillId="0" borderId="24" xfId="1" applyNumberFormat="1" applyFont="1" applyBorder="1" applyAlignment="1" applyProtection="1">
      <alignment horizontal="right" vertical="center"/>
    </xf>
    <xf numFmtId="2" fontId="21" fillId="12" borderId="23" xfId="0" applyNumberFormat="1" applyFont="1" applyFill="1" applyBorder="1" applyAlignment="1">
      <alignment horizontal="right" vertical="center"/>
    </xf>
    <xf numFmtId="2" fontId="21" fillId="12" borderId="25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8" fillId="0" borderId="24" xfId="0" applyFont="1" applyBorder="1" applyAlignment="1">
      <alignment horizontal="left" vertical="center" wrapText="1"/>
    </xf>
    <xf numFmtId="0" fontId="21" fillId="0" borderId="24" xfId="2" applyNumberFormat="1" applyFont="1" applyBorder="1" applyAlignment="1" applyProtection="1">
      <alignment wrapText="1"/>
    </xf>
    <xf numFmtId="2" fontId="21" fillId="4" borderId="27" xfId="0" applyNumberFormat="1" applyFont="1" applyFill="1" applyBorder="1" applyAlignment="1">
      <alignment horizontal="right" vertical="center"/>
    </xf>
    <xf numFmtId="2" fontId="21" fillId="13" borderId="46" xfId="0" applyNumberFormat="1" applyFont="1" applyFill="1" applyBorder="1" applyAlignment="1">
      <alignment horizontal="right" vertical="center"/>
    </xf>
    <xf numFmtId="166" fontId="13" fillId="13" borderId="24" xfId="1" applyNumberFormat="1" applyFont="1" applyFill="1" applyBorder="1" applyAlignment="1" applyProtection="1">
      <alignment horizontal="right" vertical="center"/>
    </xf>
    <xf numFmtId="2" fontId="21" fillId="13" borderId="23" xfId="0" applyNumberFormat="1" applyFont="1" applyFill="1" applyBorder="1" applyAlignment="1">
      <alignment horizontal="right" vertical="center"/>
    </xf>
    <xf numFmtId="166" fontId="13" fillId="9" borderId="24" xfId="1" applyNumberFormat="1" applyFont="1" applyFill="1" applyBorder="1" applyAlignment="1" applyProtection="1">
      <alignment horizontal="right" vertical="center"/>
    </xf>
    <xf numFmtId="2" fontId="21" fillId="14" borderId="23" xfId="0" applyNumberFormat="1" applyFont="1" applyFill="1" applyBorder="1" applyAlignment="1">
      <alignment horizontal="right" vertical="center"/>
    </xf>
    <xf numFmtId="166" fontId="13" fillId="14" borderId="24" xfId="1" applyNumberFormat="1" applyFont="1" applyFill="1" applyBorder="1" applyAlignment="1" applyProtection="1">
      <alignment horizontal="right" vertical="center"/>
    </xf>
    <xf numFmtId="2" fontId="0" fillId="14" borderId="23" xfId="0" applyNumberFormat="1" applyFill="1" applyBorder="1"/>
    <xf numFmtId="2" fontId="21" fillId="14" borderId="25" xfId="0" applyNumberFormat="1" applyFont="1" applyFill="1" applyBorder="1" applyAlignment="1">
      <alignment horizontal="right" vertical="center"/>
    </xf>
    <xf numFmtId="0" fontId="0" fillId="9" borderId="23" xfId="0" applyFill="1" applyBorder="1" applyAlignment="1">
      <alignment vertical="center"/>
    </xf>
    <xf numFmtId="0" fontId="8" fillId="9" borderId="24" xfId="0" applyFont="1" applyFill="1" applyBorder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166" fontId="13" fillId="0" borderId="25" xfId="1" applyNumberFormat="1" applyFont="1" applyBorder="1" applyAlignment="1" applyProtection="1">
      <alignment horizontal="right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2" applyNumberFormat="1" applyFont="1" applyBorder="1" applyAlignment="1" applyProtection="1">
      <alignment wrapText="1"/>
    </xf>
    <xf numFmtId="0" fontId="21" fillId="0" borderId="31" xfId="0" applyFont="1" applyBorder="1" applyAlignment="1">
      <alignment horizontal="right" vertical="center"/>
    </xf>
    <xf numFmtId="0" fontId="21" fillId="0" borderId="29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2" fontId="21" fillId="0" borderId="33" xfId="0" applyNumberFormat="1" applyFont="1" applyBorder="1" applyAlignment="1">
      <alignment horizontal="right" vertical="center"/>
    </xf>
    <xf numFmtId="2" fontId="21" fillId="0" borderId="34" xfId="0" applyNumberFormat="1" applyFont="1" applyBorder="1" applyAlignment="1">
      <alignment horizontal="right" vertical="center"/>
    </xf>
    <xf numFmtId="2" fontId="21" fillId="13" borderId="35" xfId="0" applyNumberFormat="1" applyFont="1" applyFill="1" applyBorder="1" applyAlignment="1">
      <alignment horizontal="right" vertical="center"/>
    </xf>
    <xf numFmtId="2" fontId="21" fillId="0" borderId="35" xfId="0" applyNumberFormat="1" applyFont="1" applyBorder="1" applyAlignment="1">
      <alignment horizontal="right" vertical="center"/>
    </xf>
    <xf numFmtId="2" fontId="21" fillId="12" borderId="35" xfId="0" applyNumberFormat="1" applyFont="1" applyFill="1" applyBorder="1" applyAlignment="1">
      <alignment horizontal="right" vertical="center"/>
    </xf>
    <xf numFmtId="2" fontId="21" fillId="12" borderId="48" xfId="0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 vertical="center" readingOrder="1"/>
    </xf>
    <xf numFmtId="0" fontId="8" fillId="0" borderId="37" xfId="0" applyFont="1" applyBorder="1" applyAlignment="1">
      <alignment horizontal="left" vertical="center" wrapText="1"/>
    </xf>
    <xf numFmtId="0" fontId="21" fillId="5" borderId="42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41" xfId="2" applyNumberFormat="1" applyFont="1" applyFill="1" applyBorder="1" applyAlignment="1" applyProtection="1">
      <alignment wrapText="1"/>
    </xf>
    <xf numFmtId="0" fontId="21" fillId="5" borderId="49" xfId="0" applyFont="1" applyFill="1" applyBorder="1" applyAlignment="1">
      <alignment horizontal="right" vertical="center"/>
    </xf>
    <xf numFmtId="0" fontId="21" fillId="5" borderId="40" xfId="0" applyFont="1" applyFill="1" applyBorder="1" applyAlignment="1">
      <alignment horizontal="right" vertical="center"/>
    </xf>
    <xf numFmtId="0" fontId="21" fillId="5" borderId="41" xfId="0" applyFont="1" applyFill="1" applyBorder="1" applyAlignment="1">
      <alignment horizontal="right" vertical="center"/>
    </xf>
    <xf numFmtId="2" fontId="21" fillId="5" borderId="0" xfId="0" applyNumberFormat="1" applyFont="1" applyFill="1" applyAlignment="1">
      <alignment horizontal="right" vertical="center"/>
    </xf>
    <xf numFmtId="2" fontId="21" fillId="5" borderId="42" xfId="0" applyNumberFormat="1" applyFont="1" applyFill="1" applyBorder="1" applyAlignment="1">
      <alignment horizontal="right" vertical="center"/>
    </xf>
    <xf numFmtId="166" fontId="13" fillId="5" borderId="43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/>
    <xf numFmtId="169" fontId="19" fillId="0" borderId="6" xfId="0" applyNumberFormat="1" applyFont="1" applyBorder="1" applyAlignment="1">
      <alignment horizontal="right" vertical="center"/>
    </xf>
    <xf numFmtId="2" fontId="19" fillId="0" borderId="9" xfId="0" applyNumberFormat="1" applyFont="1" applyBorder="1" applyAlignment="1">
      <alignment horizontal="right" vertical="center"/>
    </xf>
    <xf numFmtId="2" fontId="21" fillId="12" borderId="5" xfId="0" applyNumberFormat="1" applyFont="1" applyFill="1" applyBorder="1" applyAlignment="1">
      <alignment horizontal="right" vertical="center"/>
    </xf>
    <xf numFmtId="2" fontId="21" fillId="12" borderId="7" xfId="0" applyNumberFormat="1" applyFont="1" applyFill="1" applyBorder="1" applyAlignment="1">
      <alignment horizontal="right" vertical="center"/>
    </xf>
    <xf numFmtId="166" fontId="13" fillId="0" borderId="7" xfId="1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3" fillId="0" borderId="0" xfId="1" applyNumberFormat="1" applyFont="1" applyBorder="1" applyAlignment="1" applyProtection="1">
      <alignment horizontal="right" vertical="center"/>
    </xf>
    <xf numFmtId="2" fontId="21" fillId="0" borderId="0" xfId="0" applyNumberFormat="1" applyFont="1" applyAlignment="1">
      <alignment horizontal="right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50" xfId="0" applyFont="1" applyFill="1" applyBorder="1"/>
    <xf numFmtId="2" fontId="7" fillId="4" borderId="0" xfId="0" applyNumberFormat="1" applyFont="1" applyFill="1"/>
    <xf numFmtId="0" fontId="0" fillId="0" borderId="50" xfId="0" applyBorder="1"/>
    <xf numFmtId="49" fontId="7" fillId="3" borderId="12" xfId="2" applyNumberFormat="1" applyFont="1" applyFill="1" applyBorder="1" applyAlignment="1" applyProtection="1">
      <alignment horizontal="right" vertical="center"/>
    </xf>
    <xf numFmtId="2" fontId="0" fillId="0" borderId="5" xfId="0" applyNumberFormat="1" applyBorder="1"/>
    <xf numFmtId="166" fontId="13" fillId="0" borderId="0" xfId="2" applyNumberFormat="1" applyFont="1" applyBorder="1" applyAlignment="1" applyProtection="1">
      <alignment horizontal="right" wrapText="1"/>
    </xf>
    <xf numFmtId="0" fontId="16" fillId="12" borderId="9" xfId="2" applyNumberFormat="1" applyFont="1" applyFill="1" applyBorder="1" applyAlignment="1" applyProtection="1">
      <alignment horizontal="center" wrapText="1"/>
    </xf>
    <xf numFmtId="166" fontId="22" fillId="0" borderId="9" xfId="2" applyNumberFormat="1" applyFont="1" applyBorder="1" applyAlignment="1" applyProtection="1">
      <alignment horizontal="right" vertical="top" wrapText="1"/>
    </xf>
    <xf numFmtId="166" fontId="22" fillId="0" borderId="37" xfId="2" applyNumberFormat="1" applyFont="1" applyBorder="1" applyAlignment="1" applyProtection="1">
      <alignment horizontal="right" vertical="top" wrapText="1"/>
    </xf>
    <xf numFmtId="0" fontId="16" fillId="0" borderId="6" xfId="2" applyNumberFormat="1" applyFont="1" applyBorder="1" applyAlignment="1" applyProtection="1">
      <alignment horizontal="center" vertical="top" wrapText="1"/>
    </xf>
    <xf numFmtId="2" fontId="7" fillId="0" borderId="10" xfId="2" applyNumberFormat="1" applyFont="1" applyBorder="1" applyAlignment="1" applyProtection="1">
      <alignment horizontal="right" vertical="top" wrapText="1"/>
    </xf>
    <xf numFmtId="166" fontId="22" fillId="0" borderId="48" xfId="2" applyNumberFormat="1" applyFont="1" applyBorder="1" applyAlignment="1" applyProtection="1">
      <alignment horizontal="right" vertical="top" wrapText="1"/>
    </xf>
    <xf numFmtId="166" fontId="22" fillId="12" borderId="37" xfId="2" applyNumberFormat="1" applyFont="1" applyFill="1" applyBorder="1" applyAlignment="1" applyProtection="1">
      <alignment horizontal="right" vertical="top" wrapText="1"/>
    </xf>
    <xf numFmtId="166" fontId="22" fillId="0" borderId="51" xfId="2" applyNumberFormat="1" applyFont="1" applyBorder="1" applyAlignment="1" applyProtection="1">
      <alignment horizontal="right" vertical="top" wrapText="1"/>
    </xf>
    <xf numFmtId="166" fontId="22" fillId="0" borderId="7" xfId="2" applyNumberFormat="1" applyFont="1" applyBorder="1" applyAlignment="1" applyProtection="1">
      <alignment horizontal="right" vertical="top" wrapText="1"/>
    </xf>
    <xf numFmtId="0" fontId="16" fillId="12" borderId="9" xfId="2" applyNumberFormat="1" applyFont="1" applyFill="1" applyBorder="1" applyAlignment="1" applyProtection="1">
      <alignment horizontal="center" vertical="top" wrapText="1"/>
    </xf>
    <xf numFmtId="2" fontId="7" fillId="0" borderId="5" xfId="2" applyNumberFormat="1" applyFont="1" applyBorder="1" applyProtection="1"/>
    <xf numFmtId="166" fontId="13" fillId="0" borderId="52" xfId="2" applyNumberFormat="1" applyFont="1" applyBorder="1" applyAlignment="1" applyProtection="1">
      <alignment horizontal="right" wrapText="1"/>
    </xf>
    <xf numFmtId="0" fontId="0" fillId="0" borderId="0" xfId="2" applyNumberFormat="1" applyFont="1" applyBorder="1" applyProtection="1"/>
    <xf numFmtId="0" fontId="17" fillId="0" borderId="0" xfId="2" applyNumberFormat="1" applyFont="1" applyBorder="1" applyAlignment="1" applyProtection="1">
      <alignment vertical="center"/>
    </xf>
    <xf numFmtId="0" fontId="16" fillId="0" borderId="0" xfId="2" applyNumberFormat="1" applyFont="1" applyBorder="1" applyAlignment="1" applyProtection="1">
      <alignment horizontal="center" wrapText="1"/>
    </xf>
    <xf numFmtId="2" fontId="7" fillId="0" borderId="0" xfId="2" applyNumberFormat="1" applyFont="1" applyBorder="1" applyAlignment="1" applyProtection="1">
      <alignment horizontal="right" wrapText="1"/>
    </xf>
    <xf numFmtId="2" fontId="7" fillId="0" borderId="0" xfId="2" applyNumberFormat="1" applyFont="1" applyBorder="1" applyProtection="1"/>
    <xf numFmtId="2" fontId="7" fillId="0" borderId="53" xfId="2" applyNumberFormat="1" applyFont="1" applyBorder="1" applyProtection="1"/>
    <xf numFmtId="166" fontId="13" fillId="0" borderId="50" xfId="2" applyNumberFormat="1" applyFont="1" applyBorder="1" applyAlignment="1" applyProtection="1">
      <alignment horizontal="right" wrapText="1"/>
    </xf>
    <xf numFmtId="0" fontId="7" fillId="0" borderId="0" xfId="2" applyNumberFormat="1" applyFont="1" applyBorder="1" applyProtection="1"/>
    <xf numFmtId="0" fontId="20" fillId="0" borderId="0" xfId="0" applyFont="1" applyAlignment="1">
      <alignment horizontal="center"/>
    </xf>
    <xf numFmtId="0" fontId="20" fillId="0" borderId="4" xfId="0" applyFont="1" applyBorder="1"/>
    <xf numFmtId="16" fontId="0" fillId="12" borderId="1" xfId="0" applyNumberFormat="1" applyFill="1" applyBorder="1"/>
    <xf numFmtId="16" fontId="0" fillId="0" borderId="0" xfId="0" applyNumberFormat="1"/>
    <xf numFmtId="166" fontId="0" fillId="0" borderId="1" xfId="0" applyNumberFormat="1" applyBorder="1"/>
    <xf numFmtId="166" fontId="0" fillId="0" borderId="0" xfId="0" applyNumberFormat="1"/>
    <xf numFmtId="0" fontId="23" fillId="12" borderId="0" xfId="2" applyNumberFormat="1" applyFont="1" applyFill="1" applyBorder="1" applyAlignment="1" applyProtection="1">
      <alignment horizontal="center" wrapText="1"/>
    </xf>
    <xf numFmtId="166" fontId="24" fillId="0" borderId="0" xfId="0" applyNumberFormat="1" applyFont="1"/>
    <xf numFmtId="49" fontId="7" fillId="3" borderId="0" xfId="2" applyNumberFormat="1" applyFont="1" applyFill="1" applyBorder="1" applyAlignment="1" applyProtection="1">
      <alignment horizontal="right" vertical="center"/>
    </xf>
    <xf numFmtId="0" fontId="21" fillId="0" borderId="6" xfId="0" applyFont="1" applyBorder="1"/>
    <xf numFmtId="2" fontId="19" fillId="0" borderId="5" xfId="0" applyNumberFormat="1" applyFont="1" applyBorder="1" applyAlignment="1">
      <alignment horizontal="right" vertical="center"/>
    </xf>
    <xf numFmtId="169" fontId="19" fillId="12" borderId="5" xfId="0" applyNumberFormat="1" applyFont="1" applyFill="1" applyBorder="1" applyAlignment="1">
      <alignment horizontal="right" vertical="center"/>
    </xf>
    <xf numFmtId="166" fontId="13" fillId="12" borderId="7" xfId="1" applyNumberFormat="1" applyFont="1" applyFill="1" applyBorder="1" applyAlignment="1" applyProtection="1">
      <alignment horizontal="right" vertical="center"/>
    </xf>
    <xf numFmtId="2" fontId="19" fillId="12" borderId="5" xfId="0" applyNumberFormat="1" applyFont="1" applyFill="1" applyBorder="1" applyAlignment="1">
      <alignment horizontal="right" vertical="center"/>
    </xf>
    <xf numFmtId="0" fontId="25" fillId="0" borderId="6" xfId="0" applyFont="1" applyBorder="1"/>
    <xf numFmtId="2" fontId="25" fillId="0" borderId="9" xfId="0" applyNumberFormat="1" applyFont="1" applyBorder="1" applyAlignment="1">
      <alignment horizontal="right"/>
    </xf>
    <xf numFmtId="2" fontId="25" fillId="12" borderId="5" xfId="0" applyNumberFormat="1" applyFont="1" applyFill="1" applyBorder="1" applyAlignment="1">
      <alignment horizontal="right"/>
    </xf>
    <xf numFmtId="166" fontId="26" fillId="12" borderId="9" xfId="2" applyNumberFormat="1" applyFont="1" applyFill="1" applyBorder="1" applyAlignment="1" applyProtection="1">
      <alignment horizontal="right"/>
    </xf>
    <xf numFmtId="166" fontId="26" fillId="12" borderId="5" xfId="2" applyNumberFormat="1" applyFont="1" applyFill="1" applyBorder="1" applyAlignment="1" applyProtection="1">
      <alignment horizontal="right"/>
    </xf>
    <xf numFmtId="166" fontId="26" fillId="12" borderId="12" xfId="2" applyNumberFormat="1" applyFont="1" applyFill="1" applyBorder="1" applyAlignment="1" applyProtection="1">
      <alignment horizontal="right"/>
    </xf>
    <xf numFmtId="166" fontId="26" fillId="12" borderId="52" xfId="2" applyNumberFormat="1" applyFont="1" applyFill="1" applyBorder="1" applyAlignment="1" applyProtection="1">
      <alignment horizontal="right"/>
    </xf>
    <xf numFmtId="2" fontId="25" fillId="0" borderId="5" xfId="0" applyNumberFormat="1" applyFont="1" applyBorder="1"/>
    <xf numFmtId="166" fontId="26" fillId="0" borderId="37" xfId="2" applyNumberFormat="1" applyFont="1" applyBorder="1" applyAlignment="1" applyProtection="1">
      <alignment horizontal="right" vertical="top" wrapText="1"/>
    </xf>
    <xf numFmtId="2" fontId="25" fillId="12" borderId="5" xfId="0" applyNumberFormat="1" applyFont="1" applyFill="1" applyBorder="1"/>
    <xf numFmtId="166" fontId="26" fillId="12" borderId="48" xfId="2" applyNumberFormat="1" applyFont="1" applyFill="1" applyBorder="1" applyAlignment="1" applyProtection="1">
      <alignment horizontal="right" vertical="top" wrapText="1"/>
    </xf>
    <xf numFmtId="166" fontId="26" fillId="12" borderId="0" xfId="2" applyNumberFormat="1" applyFont="1" applyFill="1" applyBorder="1" applyAlignment="1" applyProtection="1">
      <alignment horizontal="right" vertical="top" wrapText="1"/>
    </xf>
    <xf numFmtId="0" fontId="19" fillId="0" borderId="6" xfId="2" applyNumberFormat="1" applyFont="1" applyBorder="1" applyProtection="1"/>
    <xf numFmtId="2" fontId="19" fillId="0" borderId="9" xfId="2" applyNumberFormat="1" applyFont="1" applyBorder="1" applyAlignment="1" applyProtection="1">
      <alignment horizontal="right" vertical="center"/>
    </xf>
    <xf numFmtId="2" fontId="19" fillId="12" borderId="5" xfId="2" applyNumberFormat="1" applyFont="1" applyFill="1" applyBorder="1" applyProtection="1"/>
    <xf numFmtId="166" fontId="13" fillId="12" borderId="37" xfId="2" applyNumberFormat="1" applyFont="1" applyFill="1" applyBorder="1" applyAlignment="1" applyProtection="1">
      <alignment horizontal="right" wrapText="1"/>
    </xf>
    <xf numFmtId="2" fontId="19" fillId="0" borderId="5" xfId="2" applyNumberFormat="1" applyFont="1" applyBorder="1" applyProtection="1"/>
    <xf numFmtId="2" fontId="21" fillId="12" borderId="28" xfId="2" applyNumberFormat="1" applyFont="1" applyFill="1" applyBorder="1" applyAlignment="1" applyProtection="1">
      <alignment horizontal="right" vertical="center"/>
    </xf>
    <xf numFmtId="2" fontId="21" fillId="12" borderId="0" xfId="2" applyNumberFormat="1" applyFont="1" applyFill="1" applyBorder="1" applyAlignment="1" applyProtection="1">
      <alignment horizontal="right" vertical="center"/>
    </xf>
    <xf numFmtId="2" fontId="21" fillId="12" borderId="42" xfId="2" applyNumberFormat="1" applyFont="1" applyFill="1" applyBorder="1" applyAlignment="1" applyProtection="1">
      <alignment horizontal="right" vertical="center"/>
    </xf>
    <xf numFmtId="2" fontId="21" fillId="12" borderId="54" xfId="2" applyNumberFormat="1" applyFont="1" applyFill="1" applyBorder="1" applyAlignment="1" applyProtection="1">
      <alignment horizontal="right" vertical="center"/>
    </xf>
    <xf numFmtId="0" fontId="27" fillId="12" borderId="9" xfId="2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0" fontId="0" fillId="15" borderId="0" xfId="0" applyFill="1"/>
    <xf numFmtId="167" fontId="0" fillId="0" borderId="0" xfId="0" applyNumberFormat="1"/>
    <xf numFmtId="0" fontId="0" fillId="19" borderId="1" xfId="0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19" borderId="55" xfId="0" applyFont="1" applyFill="1" applyBorder="1" applyAlignment="1">
      <alignment horizontal="center" vertical="center" wrapText="1"/>
    </xf>
    <xf numFmtId="0" fontId="7" fillId="17" borderId="55" xfId="0" applyFont="1" applyFill="1" applyBorder="1" applyAlignment="1">
      <alignment horizontal="center" vertical="center" wrapText="1"/>
    </xf>
    <xf numFmtId="0" fontId="0" fillId="4" borderId="55" xfId="0" applyFill="1" applyBorder="1" applyAlignment="1">
      <alignment horizontal="center" vertical="center" wrapText="1"/>
    </xf>
    <xf numFmtId="0" fontId="0" fillId="18" borderId="5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7" fillId="0" borderId="55" xfId="0" applyNumberFormat="1" applyFont="1" applyBorder="1" applyAlignment="1">
      <alignment horizontal="center" vertical="center" wrapText="1"/>
    </xf>
    <xf numFmtId="4" fontId="7" fillId="0" borderId="55" xfId="0" applyNumberFormat="1" applyFont="1" applyBorder="1" applyAlignment="1">
      <alignment horizontal="center" vertical="center" wrapText="1"/>
    </xf>
    <xf numFmtId="166" fontId="0" fillId="0" borderId="55" xfId="0" applyNumberFormat="1" applyBorder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 wrapText="1"/>
    </xf>
    <xf numFmtId="170" fontId="0" fillId="0" borderId="55" xfId="0" applyNumberFormat="1" applyBorder="1"/>
    <xf numFmtId="4" fontId="0" fillId="0" borderId="55" xfId="0" applyNumberFormat="1" applyBorder="1"/>
    <xf numFmtId="0" fontId="0" fillId="16" borderId="1" xfId="0" applyFill="1" applyBorder="1" applyAlignment="1">
      <alignment horizontal="center" vertical="center" wrapText="1"/>
    </xf>
    <xf numFmtId="166" fontId="7" fillId="16" borderId="1" xfId="0" applyNumberFormat="1" applyFont="1" applyFill="1" applyBorder="1" applyAlignment="1">
      <alignment horizontal="center" vertical="center" wrapText="1"/>
    </xf>
    <xf numFmtId="166" fontId="0" fillId="16" borderId="1" xfId="0" applyNumberFormat="1" applyFill="1" applyBorder="1" applyAlignment="1">
      <alignment horizontal="center" vertical="center" wrapText="1"/>
    </xf>
    <xf numFmtId="166" fontId="7" fillId="16" borderId="55" xfId="0" applyNumberFormat="1" applyFont="1" applyFill="1" applyBorder="1" applyAlignment="1">
      <alignment horizontal="center" vertical="center" wrapText="1"/>
    </xf>
    <xf numFmtId="4" fontId="7" fillId="16" borderId="55" xfId="0" applyNumberFormat="1" applyFont="1" applyFill="1" applyBorder="1" applyAlignment="1">
      <alignment horizontal="center" vertical="center" wrapText="1"/>
    </xf>
    <xf numFmtId="166" fontId="0" fillId="20" borderId="55" xfId="0" applyNumberFormat="1" applyFill="1" applyBorder="1" applyAlignment="1">
      <alignment horizontal="center" vertical="center" wrapText="1"/>
    </xf>
    <xf numFmtId="2" fontId="0" fillId="20" borderId="55" xfId="0" applyNumberFormat="1" applyFill="1" applyBorder="1" applyAlignment="1">
      <alignment horizontal="center" vertical="center" wrapText="1"/>
    </xf>
    <xf numFmtId="166" fontId="0" fillId="21" borderId="55" xfId="0" applyNumberFormat="1" applyFill="1" applyBorder="1" applyAlignment="1">
      <alignment horizontal="center" vertical="center" wrapText="1"/>
    </xf>
    <xf numFmtId="4" fontId="7" fillId="21" borderId="55" xfId="0" applyNumberFormat="1" applyFont="1" applyFill="1" applyBorder="1" applyAlignment="1">
      <alignment horizontal="center" vertical="center" wrapText="1"/>
    </xf>
    <xf numFmtId="170" fontId="0" fillId="22" borderId="55" xfId="0" applyNumberFormat="1" applyFill="1" applyBorder="1"/>
    <xf numFmtId="4" fontId="0" fillId="22" borderId="55" xfId="0" applyNumberFormat="1" applyFill="1" applyBorder="1"/>
    <xf numFmtId="0" fontId="0" fillId="0" borderId="55" xfId="0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/>
    </xf>
    <xf numFmtId="166" fontId="7" fillId="19" borderId="1" xfId="0" applyNumberFormat="1" applyFont="1" applyFill="1" applyBorder="1" applyAlignment="1">
      <alignment horizontal="center"/>
    </xf>
    <xf numFmtId="166" fontId="0" fillId="19" borderId="1" xfId="0" applyNumberFormat="1" applyFill="1" applyBorder="1" applyAlignment="1">
      <alignment horizontal="center"/>
    </xf>
    <xf numFmtId="166" fontId="7" fillId="19" borderId="55" xfId="0" applyNumberFormat="1" applyFont="1" applyFill="1" applyBorder="1" applyAlignment="1">
      <alignment horizontal="center"/>
    </xf>
    <xf numFmtId="4" fontId="7" fillId="19" borderId="55" xfId="0" applyNumberFormat="1" applyFont="1" applyFill="1" applyBorder="1" applyAlignment="1">
      <alignment horizontal="center"/>
    </xf>
    <xf numFmtId="166" fontId="0" fillId="17" borderId="55" xfId="0" applyNumberFormat="1" applyFill="1" applyBorder="1" applyAlignment="1">
      <alignment horizontal="center"/>
    </xf>
    <xf numFmtId="2" fontId="0" fillId="17" borderId="55" xfId="0" applyNumberFormat="1" applyFill="1" applyBorder="1" applyAlignment="1">
      <alignment horizontal="center"/>
    </xf>
    <xf numFmtId="166" fontId="0" fillId="4" borderId="55" xfId="0" applyNumberFormat="1" applyFill="1" applyBorder="1" applyAlignment="1">
      <alignment horizontal="center" vertical="center" wrapText="1"/>
    </xf>
    <xf numFmtId="4" fontId="7" fillId="4" borderId="55" xfId="0" applyNumberFormat="1" applyFont="1" applyFill="1" applyBorder="1" applyAlignment="1">
      <alignment horizontal="center" vertical="center" wrapText="1"/>
    </xf>
    <xf numFmtId="170" fontId="0" fillId="18" borderId="55" xfId="0" applyNumberFormat="1" applyFill="1" applyBorder="1"/>
    <xf numFmtId="4" fontId="0" fillId="18" borderId="55" xfId="0" applyNumberFormat="1" applyFill="1" applyBorder="1"/>
    <xf numFmtId="2" fontId="7" fillId="19" borderId="1" xfId="0" applyNumberFormat="1" applyFon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167" fontId="7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0" fontId="0" fillId="23" borderId="1" xfId="0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6" fontId="7" fillId="1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170" fontId="7" fillId="19" borderId="1" xfId="0" applyNumberFormat="1" applyFont="1" applyFill="1" applyBorder="1" applyAlignment="1">
      <alignment horizontal="center"/>
    </xf>
    <xf numFmtId="170" fontId="0" fillId="19" borderId="1" xfId="0" applyNumberFormat="1" applyFill="1" applyBorder="1" applyAlignment="1">
      <alignment horizontal="center"/>
    </xf>
    <xf numFmtId="0" fontId="0" fillId="12" borderId="1" xfId="0" applyFill="1" applyBorder="1"/>
    <xf numFmtId="166" fontId="7" fillId="12" borderId="1" xfId="0" applyNumberFormat="1" applyFont="1" applyFill="1" applyBorder="1" applyAlignment="1">
      <alignment horizontal="center"/>
    </xf>
    <xf numFmtId="170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70" fontId="0" fillId="0" borderId="0" xfId="0" applyNumberFormat="1"/>
    <xf numFmtId="4" fontId="0" fillId="0" borderId="0" xfId="0" applyNumberFormat="1"/>
    <xf numFmtId="167" fontId="7" fillId="0" borderId="0" xfId="0" applyNumberFormat="1" applyFont="1" applyAlignment="1">
      <alignment horizontal="right"/>
    </xf>
    <xf numFmtId="167" fontId="7" fillId="0" borderId="0" xfId="0" applyNumberFormat="1" applyFont="1"/>
    <xf numFmtId="167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9" fillId="19" borderId="1" xfId="0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0" fontId="9" fillId="3" borderId="58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left" wrapText="1"/>
    </xf>
    <xf numFmtId="0" fontId="11" fillId="0" borderId="59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 wrapText="1"/>
    </xf>
    <xf numFmtId="0" fontId="11" fillId="9" borderId="10" xfId="0" applyFont="1" applyFill="1" applyBorder="1" applyAlignment="1">
      <alignment horizontal="left" wrapText="1"/>
    </xf>
    <xf numFmtId="0" fontId="11" fillId="0" borderId="44" xfId="0" applyFont="1" applyBorder="1" applyAlignment="1">
      <alignment horizontal="left" wrapText="1"/>
    </xf>
    <xf numFmtId="0" fontId="11" fillId="0" borderId="44" xfId="0" applyFont="1" applyBorder="1" applyAlignment="1">
      <alignment horizontal="center" wrapText="1"/>
    </xf>
    <xf numFmtId="0" fontId="9" fillId="0" borderId="60" xfId="0" applyFont="1" applyBorder="1" applyAlignment="1">
      <alignment horizontal="center" wrapText="1"/>
    </xf>
    <xf numFmtId="0" fontId="9" fillId="0" borderId="61" xfId="0" applyFont="1" applyBorder="1" applyAlignment="1">
      <alignment horizontal="center" wrapText="1"/>
    </xf>
    <xf numFmtId="0" fontId="11" fillId="5" borderId="4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center" wrapText="1"/>
    </xf>
    <xf numFmtId="0" fontId="11" fillId="0" borderId="58" xfId="0" applyFont="1" applyBorder="1" applyAlignment="1">
      <alignment horizontal="left" wrapText="1"/>
    </xf>
    <xf numFmtId="0" fontId="11" fillId="0" borderId="58" xfId="0" applyFont="1" applyBorder="1" applyAlignment="1">
      <alignment horizontal="center" wrapText="1"/>
    </xf>
    <xf numFmtId="0" fontId="11" fillId="5" borderId="62" xfId="0" applyFont="1" applyFill="1" applyBorder="1" applyAlignment="1">
      <alignment horizontal="left" wrapText="1"/>
    </xf>
    <xf numFmtId="0" fontId="11" fillId="5" borderId="62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left" wrapText="1"/>
    </xf>
    <xf numFmtId="0" fontId="11" fillId="5" borderId="10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0" fillId="5" borderId="44" xfId="0" applyFill="1" applyBorder="1" applyAlignment="1">
      <alignment horizontal="left" wrapText="1"/>
    </xf>
    <xf numFmtId="0" fontId="0" fillId="5" borderId="44" xfId="0" applyFill="1" applyBorder="1" applyAlignment="1">
      <alignment horizontal="center" wrapText="1"/>
    </xf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9" fillId="7" borderId="58" xfId="0" applyFont="1" applyFill="1" applyBorder="1" applyAlignment="1">
      <alignment horizontal="center" vertical="center" wrapText="1"/>
    </xf>
    <xf numFmtId="0" fontId="21" fillId="9" borderId="62" xfId="0" applyFont="1" applyFill="1" applyBorder="1" applyAlignment="1">
      <alignment horizontal="left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2" fontId="7" fillId="14" borderId="5" xfId="0" applyNumberFormat="1" applyFont="1" applyFill="1" applyBorder="1"/>
    <xf numFmtId="166" fontId="13" fillId="14" borderId="7" xfId="2" applyNumberFormat="1" applyFont="1" applyFill="1" applyBorder="1" applyAlignment="1" applyProtection="1">
      <alignment horizontal="right" wrapText="1"/>
    </xf>
    <xf numFmtId="2" fontId="0" fillId="13" borderId="13" xfId="0" applyNumberFormat="1" applyFill="1" applyBorder="1"/>
    <xf numFmtId="166" fontId="13" fillId="13" borderId="15" xfId="2" applyNumberFormat="1" applyFont="1" applyFill="1" applyBorder="1" applyAlignment="1" applyProtection="1">
      <alignment horizontal="right" wrapText="1"/>
    </xf>
    <xf numFmtId="2" fontId="0" fillId="13" borderId="23" xfId="0" applyNumberFormat="1" applyFill="1" applyBorder="1"/>
    <xf numFmtId="166" fontId="13" fillId="13" borderId="24" xfId="2" applyNumberFormat="1" applyFont="1" applyFill="1" applyBorder="1" applyAlignment="1" applyProtection="1">
      <alignment horizontal="right" wrapText="1"/>
    </xf>
    <xf numFmtId="2" fontId="21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0" fillId="10" borderId="0" xfId="0" applyFill="1" applyAlignment="1">
      <alignment horizontal="left" vertical="top" wrapText="1"/>
    </xf>
    <xf numFmtId="0" fontId="9" fillId="0" borderId="35" xfId="2" applyNumberFormat="1" applyFont="1" applyBorder="1" applyAlignment="1" applyProtection="1">
      <alignment horizontal="center" wrapText="1"/>
    </xf>
    <xf numFmtId="0" fontId="9" fillId="0" borderId="1" xfId="2" applyNumberFormat="1" applyFont="1" applyBorder="1" applyAlignment="1" applyProtection="1">
      <alignment horizontal="center" wrapText="1"/>
    </xf>
    <xf numFmtId="0" fontId="16" fillId="0" borderId="5" xfId="2" applyNumberFormat="1" applyFont="1" applyBorder="1" applyAlignment="1" applyProtection="1">
      <alignment wrapText="1"/>
    </xf>
    <xf numFmtId="49" fontId="7" fillId="17" borderId="55" xfId="0" applyNumberFormat="1" applyFont="1" applyFill="1" applyBorder="1" applyAlignment="1">
      <alignment horizontal="center" vertical="center"/>
    </xf>
    <xf numFmtId="49" fontId="7" fillId="4" borderId="55" xfId="0" applyNumberFormat="1" applyFont="1" applyFill="1" applyBorder="1" applyAlignment="1">
      <alignment horizontal="center" vertical="center"/>
    </xf>
    <xf numFmtId="49" fontId="7" fillId="18" borderId="55" xfId="0" applyNumberFormat="1" applyFont="1" applyFill="1" applyBorder="1" applyAlignment="1">
      <alignment horizontal="center" vertical="center"/>
    </xf>
    <xf numFmtId="49" fontId="7" fillId="16" borderId="5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9" fontId="7" fillId="0" borderId="56" xfId="0" applyNumberFormat="1" applyFont="1" applyBorder="1" applyAlignment="1">
      <alignment horizontal="center" vertical="center"/>
    </xf>
    <xf numFmtId="49" fontId="7" fillId="0" borderId="5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18" borderId="55" xfId="0" applyNumberFormat="1" applyFont="1" applyFill="1" applyBorder="1" applyAlignment="1">
      <alignment horizontal="left" vertical="center"/>
    </xf>
  </cellXfs>
  <cellStyles count="3">
    <cellStyle name="Excel Built-in Explanatory Text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C5E0B4"/>
      <rgbColor rgb="FF800000"/>
      <rgbColor rgb="FFFFFFA6"/>
      <rgbColor rgb="FF000080"/>
      <rgbColor rgb="FFA5A5A5"/>
      <rgbColor rgb="FF800080"/>
      <rgbColor rgb="FFBABABA"/>
      <rgbColor rgb="FFC0C0C0"/>
      <rgbColor rgb="FF808080"/>
      <rgbColor rgb="FF8FAADC"/>
      <rgbColor rgb="FF993366"/>
      <rgbColor rgb="FFFFFBCC"/>
      <rgbColor rgb="FFCCFFFF"/>
      <rgbColor rgb="FF660066"/>
      <rgbColor rgb="FFFF7B59"/>
      <rgbColor rgb="FF0066CC"/>
      <rgbColor rgb="FFBDD7EE"/>
      <rgbColor rgb="FF000080"/>
      <rgbColor rgb="FFFF00FF"/>
      <rgbColor rgb="FFFFFF38"/>
      <rgbColor rgb="FFD9D9D9"/>
      <rgbColor rgb="FF800080"/>
      <rgbColor rgb="FF800000"/>
      <rgbColor rgb="FFE8F2A1"/>
      <rgbColor rgb="FF0000FF"/>
      <rgbColor rgb="FFB4C7DC"/>
      <rgbColor rgb="FFDEE6EF"/>
      <rgbColor rgb="FFCCFFCC"/>
      <rgbColor rgb="FFFFFF99"/>
      <rgbColor rgb="FF9DC3E6"/>
      <rgbColor rgb="FFBFBFBF"/>
      <rgbColor rgb="FFB2B2B2"/>
      <rgbColor rgb="FFFFD7D7"/>
      <rgbColor rgb="FF4472C4"/>
      <rgbColor rgb="FFA9D18E"/>
      <rgbColor rgb="FF81D41A"/>
      <rgbColor rgb="FFFFCC00"/>
      <rgbColor rgb="FFFF8000"/>
      <rgbColor rgb="FFED7D31"/>
      <rgbColor rgb="FF595959"/>
      <rgbColor rgb="FF969696"/>
      <rgbColor rgb="FF003366"/>
      <rgbColor rgb="FFA6A6A6"/>
      <rgbColor rgb="FF003300"/>
      <rgbColor rgb="FF333300"/>
      <rgbColor rgb="FFFFC000"/>
      <rgbColor rgb="FFFF6D6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sous convention </a:t>
            </a:r>
          </a:p>
        </c:rich>
      </c:tx>
      <c:layout>
        <c:manualLayout>
          <c:xMode val="edge"/>
          <c:yMode val="edge"/>
          <c:x val="0.13895125480217499"/>
          <c:y val="2.2468104324263299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181509753999"/>
          <c:y val="0.17748673365699399"/>
          <c:w val="0.789901711320661"/>
          <c:h val="0.59184825561702603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Graphiques!$C$47:$G$47</c:f>
              <c:numCache>
                <c:formatCode>0.0%</c:formatCode>
                <c:ptCount val="5"/>
                <c:pt idx="0">
                  <c:v>0.914619883040936</c:v>
                </c:pt>
                <c:pt idx="1">
                  <c:v>0.82538011695906399</c:v>
                </c:pt>
                <c:pt idx="2">
                  <c:v>0.50818713450292397</c:v>
                </c:pt>
                <c:pt idx="3">
                  <c:v>0.38101169590643302</c:v>
                </c:pt>
                <c:pt idx="4">
                  <c:v>0.28935087719298203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72-470D-BCD7-D4D8B1A8AA41}"/>
            </c:ext>
          </c:extLst>
        </c:ser>
        <c:ser>
          <c:idx val="1"/>
          <c:order val="1"/>
          <c:tx>
            <c:v>2018</c:v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Graphiques!$C$48:$G$48</c:f>
              <c:numCache>
                <c:formatCode>0.0%</c:formatCode>
                <c:ptCount val="5"/>
                <c:pt idx="0">
                  <c:v>1</c:v>
                </c:pt>
                <c:pt idx="1">
                  <c:v>0.99905732484076504</c:v>
                </c:pt>
                <c:pt idx="2">
                  <c:v>0.88341401273885301</c:v>
                </c:pt>
                <c:pt idx="3">
                  <c:v>0.73901675159235702</c:v>
                </c:pt>
                <c:pt idx="4">
                  <c:v>0.61866242038216601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72-470D-BCD7-D4D8B1A8AA41}"/>
            </c:ext>
          </c:extLst>
        </c:ser>
        <c:ser>
          <c:idx val="2"/>
          <c:order val="2"/>
          <c:tx>
            <c:v>2019</c:v>
          </c:tx>
          <c:spPr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Graphiques!$C$49:$G$49</c:f>
              <c:numCache>
                <c:formatCode>0.0%</c:formatCode>
                <c:ptCount val="5"/>
                <c:pt idx="0">
                  <c:v>0.999732484076433</c:v>
                </c:pt>
                <c:pt idx="1">
                  <c:v>0.85080382165605095</c:v>
                </c:pt>
                <c:pt idx="2">
                  <c:v>0.51543312101910799</c:v>
                </c:pt>
                <c:pt idx="3">
                  <c:v>0.27556050955414002</c:v>
                </c:pt>
                <c:pt idx="4">
                  <c:v>0.16285987261146501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72-470D-BCD7-D4D8B1A8AA41}"/>
            </c:ext>
          </c:extLst>
        </c:ser>
        <c:ser>
          <c:idx val="3"/>
          <c:order val="3"/>
          <c:tx>
            <c:v>2020</c:v>
          </c:tx>
          <c:spPr>
            <a:ln w="25560">
              <a:solidFill>
                <a:srgbClr val="9DC3E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Graphiques!$C$50:$G$50</c:f>
              <c:numCache>
                <c:formatCode>0.0%</c:formatCode>
                <c:ptCount val="5"/>
                <c:pt idx="0">
                  <c:v>1.0024148606811101</c:v>
                </c:pt>
                <c:pt idx="1">
                  <c:v>0.86749226006191904</c:v>
                </c:pt>
                <c:pt idx="2">
                  <c:v>0.475969040247678</c:v>
                </c:pt>
                <c:pt idx="3">
                  <c:v>0.281417956656347</c:v>
                </c:pt>
                <c:pt idx="4">
                  <c:v>0.218346749226006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72-470D-BCD7-D4D8B1A8AA41}"/>
            </c:ext>
          </c:extLst>
        </c:ser>
        <c:ser>
          <c:idx val="4"/>
          <c:order val="4"/>
          <c:tx>
            <c:strRef>
              <c:f>Graphiques!$A$51</c:f>
              <c:strCache>
                <c:ptCount val="1"/>
                <c:pt idx="0">
                  <c:v>2021</c:v>
                </c:pt>
              </c:strCache>
            </c:strRef>
          </c:tx>
          <c:spPr>
            <a:ln w="25560">
              <a:solidFill>
                <a:srgbClr val="A9D18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Graphiques!$C$51:$G$51</c:f>
              <c:numCache>
                <c:formatCode>0.0%</c:formatCode>
                <c:ptCount val="5"/>
                <c:pt idx="0">
                  <c:v>1</c:v>
                </c:pt>
                <c:pt idx="1">
                  <c:v>0.91553668890236495</c:v>
                </c:pt>
                <c:pt idx="2">
                  <c:v>0.65201685036643797</c:v>
                </c:pt>
                <c:pt idx="3">
                  <c:v>0.52059184747646103</c:v>
                </c:pt>
                <c:pt idx="4">
                  <c:v>0.18808333333333299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72-470D-BCD7-D4D8B1A8AA41}"/>
            </c:ext>
          </c:extLst>
        </c:ser>
        <c:ser>
          <c:idx val="5"/>
          <c:order val="5"/>
          <c:tx>
            <c:strRef>
              <c:f>Graphiques!$A$52</c:f>
              <c:strCache>
                <c:ptCount val="1"/>
                <c:pt idx="0">
                  <c:v>2022</c:v>
                </c:pt>
              </c:strCache>
            </c:strRef>
          </c:tx>
          <c:spPr>
            <a:ln w="3168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Graphiques!$C$45:$G$45</c:f>
              <c:strCache>
                <c:ptCount val="5"/>
                <c:pt idx="0">
                  <c:v>1er juillet</c:v>
                </c:pt>
                <c:pt idx="1">
                  <c:v>1er août</c:v>
                </c:pt>
                <c:pt idx="2">
                  <c:v>1er septembre</c:v>
                </c:pt>
                <c:pt idx="3">
                  <c:v>1er octobre</c:v>
                </c:pt>
                <c:pt idx="4">
                  <c:v>1er novembre</c:v>
                </c:pt>
              </c:strCache>
            </c:strRef>
          </c:cat>
          <c:val>
            <c:numRef>
              <c:f>Graphiques!$C$52:$G$52</c:f>
              <c:numCache>
                <c:formatCode>0.0%</c:formatCode>
                <c:ptCount val="5"/>
                <c:pt idx="0">
                  <c:v>0.99144526445264403</c:v>
                </c:pt>
                <c:pt idx="1">
                  <c:v>0.61248789346247001</c:v>
                </c:pt>
                <c:pt idx="2">
                  <c:v>0.30646926666282598</c:v>
                </c:pt>
                <c:pt idx="3">
                  <c:v>0.22008304579215199</c:v>
                </c:pt>
                <c:pt idx="4">
                  <c:v>0.15272769168730899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72-470D-BCD7-D4D8B1A8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9907951"/>
        <c:axId val="36629922"/>
      </c:lineChart>
      <c:catAx>
        <c:axId val="3990795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144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6629922"/>
        <c:crosses val="autoZero"/>
        <c:auto val="1"/>
        <c:lblAlgn val="ctr"/>
        <c:lblOffset val="100"/>
        <c:noMultiLvlLbl val="0"/>
      </c:catAx>
      <c:valAx>
        <c:axId val="36629922"/>
        <c:scaling>
          <c:orientation val="minMax"/>
          <c:max val="1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fr-F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fr-FR" sz="1000" b="0" strike="noStrike" spc="-1">
                    <a:solidFill>
                      <a:srgbClr val="595959"/>
                    </a:solidFill>
                    <a:latin typeface="Calibri"/>
                  </a:rPr>
                  <a:t>Taux de remplissage (%)</a:t>
                </a:r>
              </a:p>
            </c:rich>
          </c:tx>
          <c:layout>
            <c:manualLayout>
              <c:xMode val="edge"/>
              <c:yMode val="edge"/>
              <c:x val="2.2651299705632899E-2"/>
              <c:y val="0.27469797899966097"/>
            </c:manualLayout>
          </c:layout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9907951"/>
        <c:crosses val="autoZero"/>
        <c:crossBetween val="midCat"/>
        <c:majorUnit val="0.2"/>
      </c:valAx>
      <c:spPr>
        <a:noFill/>
        <a:ln w="25560">
          <a:noFill/>
        </a:ln>
      </c:spPr>
    </c:plotArea>
    <c:legend>
      <c:legendPos val="r"/>
      <c:layout>
        <c:manualLayout>
          <c:xMode val="edge"/>
          <c:yMode val="edge"/>
          <c:x val="0.120706524537824"/>
          <c:y val="0.934859937750111"/>
          <c:w val="0.79112163971572802"/>
          <c:h val="6.5036131183991097E-2"/>
        </c:manualLayout>
      </c:layout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hors convention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Graphiques!$A$20</c:f>
              <c:strCache>
                <c:ptCount val="1"/>
                <c:pt idx="0">
                  <c:v>2022/2023</c:v>
                </c:pt>
              </c:strCache>
            </c:strRef>
          </c:tx>
          <c:spPr>
            <a:ln w="31680" cap="rnd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Graphiques!$B$20:$H$20</c:f>
              <c:numCache>
                <c:formatCode>0.0%</c:formatCode>
                <c:ptCount val="7"/>
                <c:pt idx="0">
                  <c:v>0.94957116944102504</c:v>
                </c:pt>
                <c:pt idx="1">
                  <c:v>0.87813663782977502</c:v>
                </c:pt>
                <c:pt idx="2">
                  <c:v>0.57689360046933202</c:v>
                </c:pt>
                <c:pt idx="3">
                  <c:v>0.36278256538366299</c:v>
                </c:pt>
                <c:pt idx="4">
                  <c:v>0.28368415579880801</c:v>
                </c:pt>
                <c:pt idx="5">
                  <c:v>0.243577811468602</c:v>
                </c:pt>
                <c:pt idx="6">
                  <c:v>0.27311647682415102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C-4E39-86DA-C6BBCCD17EF9}"/>
            </c:ext>
          </c:extLst>
        </c:ser>
        <c:ser>
          <c:idx val="1"/>
          <c:order val="1"/>
          <c:tx>
            <c:strRef>
              <c:f>Graphiques!$A$15</c:f>
              <c:strCache>
                <c:ptCount val="1"/>
                <c:pt idx="0">
                  <c:v>2017/2018</c:v>
                </c:pt>
              </c:strCache>
            </c:strRef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Graphiques!$B$15:$M$15</c:f>
              <c:numCache>
                <c:formatCode>0.0%</c:formatCode>
                <c:ptCount val="12"/>
                <c:pt idx="0">
                  <c:v>0.74752581138257201</c:v>
                </c:pt>
                <c:pt idx="1">
                  <c:v>0.70659801021499502</c:v>
                </c:pt>
                <c:pt idx="2">
                  <c:v>0.60588275189248697</c:v>
                </c:pt>
                <c:pt idx="3">
                  <c:v>0.41895564981035999</c:v>
                </c:pt>
                <c:pt idx="4">
                  <c:v>0.35393548589047302</c:v>
                </c:pt>
                <c:pt idx="5">
                  <c:v>0.31470061926449899</c:v>
                </c:pt>
                <c:pt idx="6">
                  <c:v>0.31613270102619501</c:v>
                </c:pt>
                <c:pt idx="7">
                  <c:v>0.44376700627711602</c:v>
                </c:pt>
                <c:pt idx="8">
                  <c:v>0.74790431375849797</c:v>
                </c:pt>
                <c:pt idx="9">
                  <c:v>0.88585327618654297</c:v>
                </c:pt>
                <c:pt idx="10">
                  <c:v>0.92486529779150195</c:v>
                </c:pt>
                <c:pt idx="11">
                  <c:v>0.961878321525656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C-4E39-86DA-C6BBCCD17EF9}"/>
            </c:ext>
          </c:extLst>
        </c:ser>
        <c:ser>
          <c:idx val="2"/>
          <c:order val="2"/>
          <c:tx>
            <c:strRef>
              <c:f>Graphiques!$A$16</c:f>
              <c:strCache>
                <c:ptCount val="1"/>
                <c:pt idx="0">
                  <c:v>2018/2019</c:v>
                </c:pt>
              </c:strCache>
            </c:strRef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Graphiques!$B$16:$M$16</c:f>
              <c:numCache>
                <c:formatCode>0.0%</c:formatCode>
                <c:ptCount val="12"/>
                <c:pt idx="0">
                  <c:v>0.98625031398732999</c:v>
                </c:pt>
                <c:pt idx="1">
                  <c:v>0.98777060447328402</c:v>
                </c:pt>
                <c:pt idx="2">
                  <c:v>0.94381106313808505</c:v>
                </c:pt>
                <c:pt idx="3">
                  <c:v>0.75043169148098099</c:v>
                </c:pt>
                <c:pt idx="4">
                  <c:v>0.64297738271553095</c:v>
                </c:pt>
                <c:pt idx="5">
                  <c:v>0.60731475405093005</c:v>
                </c:pt>
                <c:pt idx="6">
                  <c:v>0.61481809776940799</c:v>
                </c:pt>
                <c:pt idx="7">
                  <c:v>0.68080853975136602</c:v>
                </c:pt>
                <c:pt idx="8">
                  <c:v>0.74333340774581402</c:v>
                </c:pt>
                <c:pt idx="9">
                  <c:v>0.87195231648240801</c:v>
                </c:pt>
                <c:pt idx="10">
                  <c:v>0.88303539889247995</c:v>
                </c:pt>
                <c:pt idx="11">
                  <c:v>0.91497936366823795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C-4E39-86DA-C6BBCCD17EF9}"/>
            </c:ext>
          </c:extLst>
        </c:ser>
        <c:ser>
          <c:idx val="3"/>
          <c:order val="3"/>
          <c:tx>
            <c:strRef>
              <c:f>Graphiques!$A$17</c:f>
              <c:strCache>
                <c:ptCount val="1"/>
                <c:pt idx="0">
                  <c:v>2019/2020</c:v>
                </c:pt>
              </c:strCache>
            </c:strRef>
          </c:tx>
          <c:spPr>
            <a:ln w="25560">
              <a:solidFill>
                <a:srgbClr val="A6A6A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Graphiques!$B$17:$M$17</c:f>
              <c:numCache>
                <c:formatCode>0.0%</c:formatCode>
                <c:ptCount val="12"/>
                <c:pt idx="0">
                  <c:v>0.96266025493715901</c:v>
                </c:pt>
                <c:pt idx="1">
                  <c:v>0.94540794016186103</c:v>
                </c:pt>
                <c:pt idx="2">
                  <c:v>0.74425524706475599</c:v>
                </c:pt>
                <c:pt idx="3">
                  <c:v>0.53940994404619202</c:v>
                </c:pt>
                <c:pt idx="4">
                  <c:v>0.41797402829337599</c:v>
                </c:pt>
                <c:pt idx="5">
                  <c:v>0.38172026772735101</c:v>
                </c:pt>
                <c:pt idx="6">
                  <c:v>0.60520799820359505</c:v>
                </c:pt>
                <c:pt idx="7">
                  <c:v>0.81404452405120797</c:v>
                </c:pt>
                <c:pt idx="8">
                  <c:v>0.85969526776018002</c:v>
                </c:pt>
                <c:pt idx="9">
                  <c:v>0.88817248637923296</c:v>
                </c:pt>
                <c:pt idx="10">
                  <c:v>0.94588855724267595</c:v>
                </c:pt>
                <c:pt idx="11">
                  <c:v>0.97817657031125904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C-4E39-86DA-C6BBCCD17EF9}"/>
            </c:ext>
          </c:extLst>
        </c:ser>
        <c:ser>
          <c:idx val="4"/>
          <c:order val="4"/>
          <c:tx>
            <c:strRef>
              <c:f>Graphiques!$A$18</c:f>
              <c:strCache>
                <c:ptCount val="1"/>
                <c:pt idx="0">
                  <c:v>2020/2021</c:v>
                </c:pt>
              </c:strCache>
            </c:strRef>
          </c:tx>
          <c:spPr>
            <a:ln w="25560">
              <a:solidFill>
                <a:srgbClr val="8FAAD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Graphiques!$B$18:$M$18</c:f>
              <c:numCache>
                <c:formatCode>0.0%</c:formatCode>
                <c:ptCount val="12"/>
                <c:pt idx="0">
                  <c:v>0.98694060964832198</c:v>
                </c:pt>
                <c:pt idx="1">
                  <c:v>0.97990469074391895</c:v>
                </c:pt>
                <c:pt idx="2">
                  <c:v>0.79058681853533697</c:v>
                </c:pt>
                <c:pt idx="3">
                  <c:v>0.51065696152830997</c:v>
                </c:pt>
                <c:pt idx="4">
                  <c:v>0.41972053298595802</c:v>
                </c:pt>
                <c:pt idx="5">
                  <c:v>0.49802697496195097</c:v>
                </c:pt>
                <c:pt idx="6">
                  <c:v>0.52008020789971698</c:v>
                </c:pt>
                <c:pt idx="7">
                  <c:v>0.76840582352027498</c:v>
                </c:pt>
                <c:pt idx="8">
                  <c:v>0.87499406274110103</c:v>
                </c:pt>
                <c:pt idx="9">
                  <c:v>0.93404571881912102</c:v>
                </c:pt>
                <c:pt idx="10">
                  <c:v>0.93864404560328296</c:v>
                </c:pt>
                <c:pt idx="11">
                  <c:v>0.93150906507107401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C-4E39-86DA-C6BBCCD17EF9}"/>
            </c:ext>
          </c:extLst>
        </c:ser>
        <c:ser>
          <c:idx val="5"/>
          <c:order val="5"/>
          <c:tx>
            <c:strRef>
              <c:f>Graphiques!$A$19</c:f>
              <c:strCache>
                <c:ptCount val="1"/>
                <c:pt idx="0">
                  <c:v>2021/2022</c:v>
                </c:pt>
              </c:strCache>
            </c:strRef>
          </c:tx>
          <c:spPr>
            <a:ln w="25560">
              <a:solidFill>
                <a:srgbClr val="A9D18E"/>
              </a:solidFill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E96C-4E39-86DA-C6BBCCD17EF9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6C-4E39-86DA-C6BBCCD17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Graphiques!$B$14:$M$14</c:f>
              <c:strCache>
                <c:ptCount val="12"/>
                <c:pt idx="0">
                  <c:v>Juin</c:v>
                </c:pt>
                <c:pt idx="1">
                  <c:v>Juillet</c:v>
                </c:pt>
                <c:pt idx="2">
                  <c:v>Aout</c:v>
                </c:pt>
                <c:pt idx="3">
                  <c:v>Septembre</c:v>
                </c:pt>
                <c:pt idx="4">
                  <c:v>Octobre</c:v>
                </c:pt>
                <c:pt idx="5">
                  <c:v>Novembre</c:v>
                </c:pt>
                <c:pt idx="6">
                  <c:v>Décembre</c:v>
                </c:pt>
                <c:pt idx="7">
                  <c:v>Janvier</c:v>
                </c:pt>
                <c:pt idx="8">
                  <c:v>Février</c:v>
                </c:pt>
                <c:pt idx="9">
                  <c:v>Mars</c:v>
                </c:pt>
                <c:pt idx="10">
                  <c:v>Avril</c:v>
                </c:pt>
                <c:pt idx="11">
                  <c:v>Mai</c:v>
                </c:pt>
              </c:strCache>
            </c:strRef>
          </c:cat>
          <c:val>
            <c:numRef>
              <c:f>Graphiques!$B$19:$M$19</c:f>
              <c:numCache>
                <c:formatCode>0.0%</c:formatCode>
                <c:ptCount val="12"/>
                <c:pt idx="0">
                  <c:v>0.95992831642444798</c:v>
                </c:pt>
                <c:pt idx="1">
                  <c:v>0.95628251852745705</c:v>
                </c:pt>
                <c:pt idx="2">
                  <c:v>0.85107366100526805</c:v>
                </c:pt>
                <c:pt idx="3">
                  <c:v>0.62594498696370504</c:v>
                </c:pt>
                <c:pt idx="4">
                  <c:v>0.55715494255942699</c:v>
                </c:pt>
                <c:pt idx="5">
                  <c:v>0.49875542216157298</c:v>
                </c:pt>
                <c:pt idx="6">
                  <c:v>0.53590661622457103</c:v>
                </c:pt>
                <c:pt idx="7">
                  <c:v>0.74138327220631095</c:v>
                </c:pt>
                <c:pt idx="8">
                  <c:v>0.85721181187169404</c:v>
                </c:pt>
                <c:pt idx="9">
                  <c:v>0.88490447110897696</c:v>
                </c:pt>
                <c:pt idx="10">
                  <c:v>0.91331345260912</c:v>
                </c:pt>
                <c:pt idx="11">
                  <c:v>0.95146852482544497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C-4E39-86DA-C6BBCCD17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76078271"/>
        <c:axId val="89401279"/>
      </c:lineChart>
      <c:catAx>
        <c:axId val="760782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9401279"/>
        <c:crosses val="autoZero"/>
        <c:auto val="1"/>
        <c:lblAlgn val="ctr"/>
        <c:lblOffset val="100"/>
        <c:noMultiLvlLbl val="0"/>
      </c:catAx>
      <c:valAx>
        <c:axId val="89401279"/>
        <c:scaling>
          <c:orientation val="minMax"/>
          <c:max val="1"/>
          <c:min val="0.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078271"/>
        <c:crosses val="autoZero"/>
        <c:crossBetween val="between"/>
        <c:majorUnit val="0.2"/>
      </c:valAx>
      <c:spPr>
        <a:noFill/>
        <a:ln w="25560">
          <a:noFill/>
        </a:ln>
      </c:spPr>
    </c:plotArea>
    <c:legend>
      <c:legendPos val="b"/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lang="fr-F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Evolution du taux de remplissage des barrages 
hors convention (à la décade)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Graphiques!$BG$4</c:f>
              <c:strCache>
                <c:ptCount val="1"/>
                <c:pt idx="0">
                  <c:v>2017/2018</c:v>
                </c:pt>
              </c:strCache>
            </c:strRef>
          </c:tx>
          <c:spPr>
            <a:ln w="255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Graphiques!$BH$4:$CC$4</c:f>
              <c:numCache>
                <c:formatCode>0.0%</c:formatCode>
                <c:ptCount val="22"/>
                <c:pt idx="0">
                  <c:v>0.74752581138257201</c:v>
                </c:pt>
                <c:pt idx="1">
                  <c:v>0.75589918561762104</c:v>
                </c:pt>
                <c:pt idx="2">
                  <c:v>0.74643022970695805</c:v>
                </c:pt>
                <c:pt idx="3">
                  <c:v>0.70659801021499502</c:v>
                </c:pt>
                <c:pt idx="4">
                  <c:v>0.68631740993995105</c:v>
                </c:pt>
                <c:pt idx="5">
                  <c:v>0.64594973888636698</c:v>
                </c:pt>
                <c:pt idx="6">
                  <c:v>0.60588275189248697</c:v>
                </c:pt>
                <c:pt idx="7">
                  <c:v>0.54372153444039195</c:v>
                </c:pt>
                <c:pt idx="8">
                  <c:v>0.472404384413525</c:v>
                </c:pt>
                <c:pt idx="9">
                  <c:v>0.41895564981035999</c:v>
                </c:pt>
                <c:pt idx="10">
                  <c:v>0.381943248869203</c:v>
                </c:pt>
                <c:pt idx="11">
                  <c:v>0.37683835996640203</c:v>
                </c:pt>
                <c:pt idx="12">
                  <c:v>0.35393548589047302</c:v>
                </c:pt>
                <c:pt idx="13">
                  <c:v>0.34733851908659802</c:v>
                </c:pt>
                <c:pt idx="14">
                  <c:v>0.309377419764929</c:v>
                </c:pt>
                <c:pt idx="15">
                  <c:v>0.31470061926449899</c:v>
                </c:pt>
                <c:pt idx="16">
                  <c:v>0.31613270102619501</c:v>
                </c:pt>
                <c:pt idx="17">
                  <c:v>0.44376700627711602</c:v>
                </c:pt>
                <c:pt idx="18">
                  <c:v>0.74790431375849797</c:v>
                </c:pt>
                <c:pt idx="19">
                  <c:v>0.88585327618654297</c:v>
                </c:pt>
                <c:pt idx="20">
                  <c:v>0.92486529779150195</c:v>
                </c:pt>
                <c:pt idx="21">
                  <c:v>0.961878321525656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F-4232-A0D7-53E4B7E5E0FB}"/>
            </c:ext>
          </c:extLst>
        </c:ser>
        <c:ser>
          <c:idx val="1"/>
          <c:order val="1"/>
          <c:tx>
            <c:strRef>
              <c:f>Graphiques!$BG$5</c:f>
              <c:strCache>
                <c:ptCount val="1"/>
                <c:pt idx="0">
                  <c:v>2018/2019</c:v>
                </c:pt>
              </c:strCache>
            </c:strRef>
          </c:tx>
          <c:spPr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Graphiques!$BH$5:$CC$5</c:f>
              <c:numCache>
                <c:formatCode>0.0%</c:formatCode>
                <c:ptCount val="22"/>
                <c:pt idx="0">
                  <c:v>0.98625031398732999</c:v>
                </c:pt>
                <c:pt idx="1">
                  <c:v>0.99282859513848998</c:v>
                </c:pt>
                <c:pt idx="2">
                  <c:v>0.99461204317309304</c:v>
                </c:pt>
                <c:pt idx="3">
                  <c:v>0.98777060447328402</c:v>
                </c:pt>
                <c:pt idx="4">
                  <c:v>0.97033460857123</c:v>
                </c:pt>
                <c:pt idx="5">
                  <c:v>0.96732900436973501</c:v>
                </c:pt>
                <c:pt idx="6">
                  <c:v>0.94381106313808505</c:v>
                </c:pt>
                <c:pt idx="7">
                  <c:v>0.86851986043838603</c:v>
                </c:pt>
                <c:pt idx="8">
                  <c:v>0.82695648628779495</c:v>
                </c:pt>
                <c:pt idx="9">
                  <c:v>0.75043169148098099</c:v>
                </c:pt>
                <c:pt idx="10">
                  <c:v>0.72094910314697502</c:v>
                </c:pt>
                <c:pt idx="11">
                  <c:v>0.69524494331131403</c:v>
                </c:pt>
                <c:pt idx="12">
                  <c:v>0.64297738271553095</c:v>
                </c:pt>
                <c:pt idx="13">
                  <c:v>0.61897879307339598</c:v>
                </c:pt>
                <c:pt idx="14">
                  <c:v>0.61850670888973502</c:v>
                </c:pt>
                <c:pt idx="15">
                  <c:v>0.60731475405093005</c:v>
                </c:pt>
                <c:pt idx="16">
                  <c:v>0.61481809776940799</c:v>
                </c:pt>
                <c:pt idx="17">
                  <c:v>0.68080853975136602</c:v>
                </c:pt>
                <c:pt idx="18">
                  <c:v>0.74333340774581402</c:v>
                </c:pt>
                <c:pt idx="19">
                  <c:v>0.87195231648240801</c:v>
                </c:pt>
                <c:pt idx="20">
                  <c:v>0.88303539889247995</c:v>
                </c:pt>
                <c:pt idx="21">
                  <c:v>0.91497936366823795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F-4232-A0D7-53E4B7E5E0FB}"/>
            </c:ext>
          </c:extLst>
        </c:ser>
        <c:ser>
          <c:idx val="2"/>
          <c:order val="2"/>
          <c:tx>
            <c:strRef>
              <c:f>Graphiques!$BG$6</c:f>
              <c:strCache>
                <c:ptCount val="1"/>
                <c:pt idx="0">
                  <c:v>2019/2020</c:v>
                </c:pt>
              </c:strCache>
            </c:strRef>
          </c:tx>
          <c:spPr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Graphiques!$BH$6:$CC$6</c:f>
              <c:numCache>
                <c:formatCode>0.0%</c:formatCode>
                <c:ptCount val="22"/>
                <c:pt idx="0">
                  <c:v>0.96266025493715901</c:v>
                </c:pt>
                <c:pt idx="1">
                  <c:v>0.96576719486396301</c:v>
                </c:pt>
                <c:pt idx="2">
                  <c:v>0.966082353605482</c:v>
                </c:pt>
                <c:pt idx="3">
                  <c:v>0.94540794016186103</c:v>
                </c:pt>
                <c:pt idx="4">
                  <c:v>0.90416679251130305</c:v>
                </c:pt>
                <c:pt idx="5">
                  <c:v>0.81506091099260602</c:v>
                </c:pt>
                <c:pt idx="6">
                  <c:v>0.74425524706475599</c:v>
                </c:pt>
                <c:pt idx="7">
                  <c:v>0.65815650520471503</c:v>
                </c:pt>
                <c:pt idx="8">
                  <c:v>0.61226939243960399</c:v>
                </c:pt>
                <c:pt idx="9">
                  <c:v>0.53940994404619202</c:v>
                </c:pt>
                <c:pt idx="10">
                  <c:v>0.48978163438696998</c:v>
                </c:pt>
                <c:pt idx="11">
                  <c:v>0.45579885518587099</c:v>
                </c:pt>
                <c:pt idx="12">
                  <c:v>0.41797402829337599</c:v>
                </c:pt>
                <c:pt idx="13">
                  <c:v>0.39041864899326501</c:v>
                </c:pt>
                <c:pt idx="14">
                  <c:v>0.37374937788977602</c:v>
                </c:pt>
                <c:pt idx="15">
                  <c:v>0.38172026772735101</c:v>
                </c:pt>
                <c:pt idx="16">
                  <c:v>0.60520799820359505</c:v>
                </c:pt>
                <c:pt idx="17">
                  <c:v>0.81404452405120797</c:v>
                </c:pt>
                <c:pt idx="18">
                  <c:v>0.85969526776018002</c:v>
                </c:pt>
                <c:pt idx="19">
                  <c:v>0.88817248637923296</c:v>
                </c:pt>
                <c:pt idx="20">
                  <c:v>0.94588855724267595</c:v>
                </c:pt>
                <c:pt idx="21">
                  <c:v>0.97817657031125904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FF-4232-A0D7-53E4B7E5E0FB}"/>
            </c:ext>
          </c:extLst>
        </c:ser>
        <c:ser>
          <c:idx val="3"/>
          <c:order val="3"/>
          <c:tx>
            <c:strRef>
              <c:f>Graphiques!$BG$7</c:f>
              <c:strCache>
                <c:ptCount val="1"/>
                <c:pt idx="0">
                  <c:v>2020/2021</c:v>
                </c:pt>
              </c:strCache>
            </c:strRef>
          </c:tx>
          <c:spPr>
            <a:ln w="25560">
              <a:solidFill>
                <a:srgbClr val="BDD7E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Graphiques!$BH$7:$CC$7</c:f>
              <c:numCache>
                <c:formatCode>0.0%</c:formatCode>
                <c:ptCount val="22"/>
                <c:pt idx="0">
                  <c:v>0.98694060964832198</c:v>
                </c:pt>
                <c:pt idx="1">
                  <c:v>0.98824589210277802</c:v>
                </c:pt>
                <c:pt idx="2">
                  <c:v>0.98704828888500795</c:v>
                </c:pt>
                <c:pt idx="3">
                  <c:v>0.97990469074391895</c:v>
                </c:pt>
                <c:pt idx="4">
                  <c:v>0.94549198249293198</c:v>
                </c:pt>
                <c:pt idx="5">
                  <c:v>0.86939953067610698</c:v>
                </c:pt>
                <c:pt idx="6">
                  <c:v>0.79058681853533697</c:v>
                </c:pt>
                <c:pt idx="7">
                  <c:v>0.66098787700327899</c:v>
                </c:pt>
                <c:pt idx="8">
                  <c:v>0.59346229453948096</c:v>
                </c:pt>
                <c:pt idx="9">
                  <c:v>0.51065696152830997</c:v>
                </c:pt>
                <c:pt idx="10">
                  <c:v>0.478263895545888</c:v>
                </c:pt>
                <c:pt idx="11">
                  <c:v>0.42707423695472602</c:v>
                </c:pt>
                <c:pt idx="12">
                  <c:v>0.41972053298595802</c:v>
                </c:pt>
                <c:pt idx="13">
                  <c:v>0.44950828670516002</c:v>
                </c:pt>
                <c:pt idx="14">
                  <c:v>0.46784789913869801</c:v>
                </c:pt>
                <c:pt idx="15">
                  <c:v>0.49802697496195097</c:v>
                </c:pt>
                <c:pt idx="16">
                  <c:v>0.52008020789971698</c:v>
                </c:pt>
                <c:pt idx="17">
                  <c:v>0.76840582352027498</c:v>
                </c:pt>
                <c:pt idx="18">
                  <c:v>0.87499406274110103</c:v>
                </c:pt>
                <c:pt idx="19">
                  <c:v>0.93404571881912102</c:v>
                </c:pt>
                <c:pt idx="20">
                  <c:v>0.93864404560328296</c:v>
                </c:pt>
                <c:pt idx="21">
                  <c:v>0.93150906507107401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FF-4232-A0D7-53E4B7E5E0FB}"/>
            </c:ext>
          </c:extLst>
        </c:ser>
        <c:ser>
          <c:idx val="4"/>
          <c:order val="4"/>
          <c:tx>
            <c:strRef>
              <c:f>Graphiques!$BG$8</c:f>
              <c:strCache>
                <c:ptCount val="1"/>
                <c:pt idx="0">
                  <c:v>2021/2022</c:v>
                </c:pt>
              </c:strCache>
            </c:strRef>
          </c:tx>
          <c:spPr>
            <a:ln w="25560">
              <a:solidFill>
                <a:srgbClr val="C5E0B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Graphiques!$BH$8:$CC$8</c:f>
              <c:numCache>
                <c:formatCode>0.0%</c:formatCode>
                <c:ptCount val="22"/>
                <c:pt idx="0">
                  <c:v>0.95992831642444798</c:v>
                </c:pt>
                <c:pt idx="1">
                  <c:v>0.962313489837338</c:v>
                </c:pt>
                <c:pt idx="2">
                  <c:v>0.95575362108606299</c:v>
                </c:pt>
                <c:pt idx="3">
                  <c:v>0.95628251852745705</c:v>
                </c:pt>
                <c:pt idx="4">
                  <c:v>0.93796110036342495</c:v>
                </c:pt>
                <c:pt idx="5">
                  <c:v>0.919893861066858</c:v>
                </c:pt>
                <c:pt idx="6">
                  <c:v>0.85107366100526805</c:v>
                </c:pt>
                <c:pt idx="7">
                  <c:v>0.83094663123290602</c:v>
                </c:pt>
                <c:pt idx="8">
                  <c:v>0.70580079822434205</c:v>
                </c:pt>
                <c:pt idx="9">
                  <c:v>0.62594498696370504</c:v>
                </c:pt>
                <c:pt idx="10">
                  <c:v>0.58241107911766599</c:v>
                </c:pt>
                <c:pt idx="11">
                  <c:v>0.52403980081619705</c:v>
                </c:pt>
                <c:pt idx="12">
                  <c:v>0.55715494255942699</c:v>
                </c:pt>
                <c:pt idx="13">
                  <c:v>0.54938323112689802</c:v>
                </c:pt>
                <c:pt idx="14">
                  <c:v>0.52301538295640804</c:v>
                </c:pt>
                <c:pt idx="15">
                  <c:v>0.49875542216157298</c:v>
                </c:pt>
                <c:pt idx="16">
                  <c:v>0.53590661622457103</c:v>
                </c:pt>
                <c:pt idx="17">
                  <c:v>0.74138327220631095</c:v>
                </c:pt>
                <c:pt idx="18">
                  <c:v>0.85721181187169404</c:v>
                </c:pt>
                <c:pt idx="19">
                  <c:v>0.88490447110897696</c:v>
                </c:pt>
                <c:pt idx="20">
                  <c:v>0.91331345260912</c:v>
                </c:pt>
                <c:pt idx="21">
                  <c:v>0.95146852482544497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FF-4232-A0D7-53E4B7E5E0FB}"/>
            </c:ext>
          </c:extLst>
        </c:ser>
        <c:ser>
          <c:idx val="5"/>
          <c:order val="5"/>
          <c:tx>
            <c:strRef>
              <c:f>Graphiques!$BG$9</c:f>
              <c:strCache>
                <c:ptCount val="1"/>
                <c:pt idx="0">
                  <c:v>2022/2023</c:v>
                </c:pt>
              </c:strCache>
            </c:strRef>
          </c:tx>
          <c:spPr>
            <a:ln w="223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Graphiques!$BH$3:$CC$3</c:f>
              <c:strCache>
                <c:ptCount val="22"/>
                <c:pt idx="0">
                  <c:v>Juin 1</c:v>
                </c:pt>
                <c:pt idx="1">
                  <c:v>Juin 10</c:v>
                </c:pt>
                <c:pt idx="2">
                  <c:v>Juin 20</c:v>
                </c:pt>
                <c:pt idx="3">
                  <c:v>Juillet 1</c:v>
                </c:pt>
                <c:pt idx="4">
                  <c:v>Juillet 10</c:v>
                </c:pt>
                <c:pt idx="5">
                  <c:v>juillet 20</c:v>
                </c:pt>
                <c:pt idx="6">
                  <c:v>Aout 1</c:v>
                </c:pt>
                <c:pt idx="7">
                  <c:v>Aout 10</c:v>
                </c:pt>
                <c:pt idx="8">
                  <c:v>Aout 20</c:v>
                </c:pt>
                <c:pt idx="9">
                  <c:v>Septembre 1</c:v>
                </c:pt>
                <c:pt idx="10">
                  <c:v>Septembre 10</c:v>
                </c:pt>
                <c:pt idx="11">
                  <c:v>Septembre 20</c:v>
                </c:pt>
                <c:pt idx="12">
                  <c:v>Octobre 1</c:v>
                </c:pt>
                <c:pt idx="13">
                  <c:v>Octobre 10</c:v>
                </c:pt>
                <c:pt idx="14">
                  <c:v>Octobre 20</c:v>
                </c:pt>
                <c:pt idx="15">
                  <c:v>Novembre</c:v>
                </c:pt>
                <c:pt idx="16">
                  <c:v>Décembre</c:v>
                </c:pt>
                <c:pt idx="17">
                  <c:v>Janvier</c:v>
                </c:pt>
                <c:pt idx="18">
                  <c:v>Février</c:v>
                </c:pt>
                <c:pt idx="19">
                  <c:v>Mars</c:v>
                </c:pt>
                <c:pt idx="20">
                  <c:v>Avril</c:v>
                </c:pt>
                <c:pt idx="21">
                  <c:v>Mai</c:v>
                </c:pt>
              </c:strCache>
            </c:strRef>
          </c:cat>
          <c:val>
            <c:numRef>
              <c:f>Graphiques!$BH$9:$BX$9</c:f>
              <c:numCache>
                <c:formatCode>0.0%</c:formatCode>
                <c:ptCount val="17"/>
                <c:pt idx="0">
                  <c:v>0.94957116944102504</c:v>
                </c:pt>
                <c:pt idx="1">
                  <c:v>0.92591712998681597</c:v>
                </c:pt>
                <c:pt idx="2">
                  <c:v>0.91476920430460895</c:v>
                </c:pt>
                <c:pt idx="3">
                  <c:v>0.87813663782977502</c:v>
                </c:pt>
                <c:pt idx="4">
                  <c:v>0.81234795803224502</c:v>
                </c:pt>
                <c:pt idx="5">
                  <c:v>0.72650995726457301</c:v>
                </c:pt>
                <c:pt idx="6">
                  <c:v>0.57689360046933202</c:v>
                </c:pt>
                <c:pt idx="7">
                  <c:v>0.50099149202320303</c:v>
                </c:pt>
                <c:pt idx="8">
                  <c:v>0.405064494100429</c:v>
                </c:pt>
                <c:pt idx="9">
                  <c:v>0.36278256538366299</c:v>
                </c:pt>
                <c:pt idx="10">
                  <c:v>0.33673821758994799</c:v>
                </c:pt>
                <c:pt idx="11">
                  <c:v>0.30865016900327202</c:v>
                </c:pt>
                <c:pt idx="12">
                  <c:v>0.28368415579880801</c:v>
                </c:pt>
                <c:pt idx="13">
                  <c:v>0.270600362782565</c:v>
                </c:pt>
                <c:pt idx="14">
                  <c:v>0.25888759517265603</c:v>
                </c:pt>
                <c:pt idx="15">
                  <c:v>0.243577811468602</c:v>
                </c:pt>
                <c:pt idx="16">
                  <c:v>0.27311647682415102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FF-4232-A0D7-53E4B7E5E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2287122"/>
        <c:axId val="99651114"/>
      </c:lineChart>
      <c:catAx>
        <c:axId val="3228712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9651114"/>
        <c:crosses val="autoZero"/>
        <c:auto val="1"/>
        <c:lblAlgn val="ctr"/>
        <c:lblOffset val="100"/>
        <c:noMultiLvlLbl val="0"/>
      </c:catAx>
      <c:valAx>
        <c:axId val="99651114"/>
        <c:scaling>
          <c:orientation val="minMax"/>
          <c:max val="1"/>
          <c:min val="0.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2287122"/>
        <c:crosses val="autoZero"/>
        <c:crossBetween val="between"/>
        <c:majorUnit val="0.2"/>
      </c:valAx>
      <c:spPr>
        <a:noFill/>
        <a:ln w="25560">
          <a:noFill/>
        </a:ln>
      </c:spPr>
    </c:plotArea>
    <c:legend>
      <c:legendPos val="b"/>
      <c:overlay val="0"/>
      <c:spPr>
        <a:noFill/>
        <a:ln w="2556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9</xdr:col>
      <xdr:colOff>324000</xdr:colOff>
      <xdr:row>59</xdr:row>
      <xdr:rowOff>34920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404000" cy="939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364320</xdr:colOff>
      <xdr:row>54</xdr:row>
      <xdr:rowOff>360</xdr:rowOff>
    </xdr:from>
    <xdr:to>
      <xdr:col>8</xdr:col>
      <xdr:colOff>190080</xdr:colOff>
      <xdr:row>73</xdr:row>
      <xdr:rowOff>111960</xdr:rowOff>
    </xdr:to>
    <xdr:graphicFrame macro="">
      <xdr:nvGraphicFramePr>
        <xdr:cNvPr id="16" name="Graphiqu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311760</xdr:colOff>
      <xdr:row>11</xdr:row>
      <xdr:rowOff>56160</xdr:rowOff>
    </xdr:from>
    <xdr:to>
      <xdr:col>27</xdr:col>
      <xdr:colOff>435960</xdr:colOff>
      <xdr:row>29</xdr:row>
      <xdr:rowOff>124920</xdr:rowOff>
    </xdr:to>
    <xdr:graphicFrame macro="">
      <xdr:nvGraphicFramePr>
        <xdr:cNvPr id="17" name="Graphiqu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33120</xdr:colOff>
      <xdr:row>53</xdr:row>
      <xdr:rowOff>73800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0" y="0"/>
          <a:ext cx="10364040" cy="8655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33480</xdr:colOff>
      <xdr:row>54</xdr:row>
      <xdr:rowOff>147600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0" y="0"/>
          <a:ext cx="10364400" cy="8891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169560</xdr:colOff>
      <xdr:row>11</xdr:row>
      <xdr:rowOff>68040</xdr:rowOff>
    </xdr:from>
    <xdr:to>
      <xdr:col>41</xdr:col>
      <xdr:colOff>306720</xdr:colOff>
      <xdr:row>29</xdr:row>
      <xdr:rowOff>140760</xdr:rowOff>
    </xdr:to>
    <xdr:graphicFrame macro="">
      <xdr:nvGraphicFramePr>
        <xdr:cNvPr id="46" name="Graphique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47" name="CustomShape 2" hidden="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48" name="CustomShape 18" hidden="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49" name="CustomShape 19" hidden="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0" name="CustomShape 20" hidden="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1" name="CustomShape 21" hidden="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2" name="CustomShape 22" hidden="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3" name="CustomShape 23" hidden="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4" name="CustomShape 24" hidden="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5" name="CustomShape 25" hidden="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6" name="CustomShape 26" hidden="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7" name="CustomShape 27" hidden="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8" name="CustomShape 28" hidden="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59" name="CustomShape 29" hidden="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60" name="CustomShape 30" hidden="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61" name="CustomShape 31" hidden="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21</xdr:col>
      <xdr:colOff>433800</xdr:colOff>
      <xdr:row>59</xdr:row>
      <xdr:rowOff>68040</xdr:rowOff>
    </xdr:to>
    <xdr:sp macro="" textlink="">
      <xdr:nvSpPr>
        <xdr:cNvPr id="62" name="CustomShape 32" hidden="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0" y="0"/>
          <a:ext cx="9912960" cy="943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le.Carel-Joly\Documents\BSH\2021-barr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serves 202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zoomScaleNormal="100" workbookViewId="0"/>
  </sheetViews>
  <sheetFormatPr baseColWidth="10" defaultColWidth="11.28515625" defaultRowHeight="12.75"/>
  <cols>
    <col min="1" max="1" width="11.28515625" style="1"/>
    <col min="2" max="2" width="11.42578125" style="1" customWidth="1"/>
    <col min="3" max="1024" width="11.28515625" style="1"/>
  </cols>
  <sheetData>
    <row r="1" spans="1:8" ht="15" customHeight="1">
      <c r="A1" s="444" t="s">
        <v>0</v>
      </c>
      <c r="B1" s="444"/>
      <c r="C1" s="444"/>
      <c r="D1" s="444"/>
      <c r="E1" s="444"/>
      <c r="F1" s="444"/>
      <c r="G1" s="444"/>
      <c r="H1" s="444"/>
    </row>
    <row r="2" spans="1:8" ht="33" customHeight="1">
      <c r="A2" s="444" t="s">
        <v>1</v>
      </c>
      <c r="B2" s="444"/>
      <c r="C2" s="444"/>
      <c r="D2" s="444"/>
      <c r="E2" s="444"/>
      <c r="F2" s="444"/>
      <c r="G2" s="444"/>
      <c r="H2" s="444"/>
    </row>
    <row r="3" spans="1:8" ht="14.25">
      <c r="A3" s="2"/>
      <c r="B3" s="2"/>
      <c r="C3" s="2"/>
      <c r="D3" s="2"/>
      <c r="E3" s="2"/>
      <c r="F3" s="2"/>
      <c r="G3" s="2"/>
      <c r="H3" s="2"/>
    </row>
    <row r="4" spans="1:8" ht="121.5" customHeight="1">
      <c r="A4" s="445" t="s">
        <v>2</v>
      </c>
      <c r="B4" s="445"/>
      <c r="C4" s="445"/>
      <c r="D4" s="445"/>
      <c r="E4" s="445"/>
      <c r="F4" s="445"/>
      <c r="G4" s="445"/>
      <c r="H4" s="445"/>
    </row>
    <row r="5" spans="1:8" ht="55.5" customHeight="1">
      <c r="A5" s="446" t="s">
        <v>3</v>
      </c>
      <c r="B5" s="446"/>
      <c r="C5" s="446"/>
      <c r="D5" s="446"/>
      <c r="E5" s="446"/>
      <c r="F5" s="446"/>
      <c r="G5" s="446"/>
      <c r="H5" s="446"/>
    </row>
    <row r="6" spans="1:8" ht="130.5" customHeight="1">
      <c r="A6" s="446" t="s">
        <v>4</v>
      </c>
      <c r="B6" s="446"/>
      <c r="C6" s="446"/>
      <c r="D6" s="446"/>
      <c r="E6" s="446"/>
      <c r="F6" s="446"/>
      <c r="G6" s="446"/>
      <c r="H6" s="446"/>
    </row>
    <row r="7" spans="1:8" ht="69" customHeight="1">
      <c r="A7" s="445" t="s">
        <v>5</v>
      </c>
      <c r="B7" s="445"/>
      <c r="C7" s="445"/>
      <c r="D7" s="445"/>
      <c r="E7" s="445"/>
      <c r="F7" s="445"/>
      <c r="G7" s="445"/>
      <c r="H7" s="445"/>
    </row>
    <row r="8" spans="1:8" ht="57" customHeight="1">
      <c r="A8" s="447" t="s">
        <v>6</v>
      </c>
      <c r="B8" s="447"/>
      <c r="C8" s="447"/>
      <c r="D8" s="447"/>
      <c r="E8" s="447"/>
      <c r="F8" s="447"/>
      <c r="G8" s="447"/>
      <c r="H8" s="447"/>
    </row>
    <row r="9" spans="1:8" ht="179.25" customHeight="1">
      <c r="A9" s="446" t="s">
        <v>7</v>
      </c>
      <c r="B9" s="446"/>
      <c r="C9" s="446"/>
      <c r="D9" s="446"/>
      <c r="E9" s="446"/>
      <c r="F9" s="446"/>
      <c r="G9" s="446"/>
      <c r="H9" s="446"/>
    </row>
    <row r="10" spans="1:8" ht="83.25" customHeight="1">
      <c r="A10" s="446" t="s">
        <v>8</v>
      </c>
      <c r="B10" s="446"/>
      <c r="C10" s="446"/>
      <c r="D10" s="446"/>
      <c r="E10" s="446"/>
      <c r="F10" s="446"/>
      <c r="G10" s="446"/>
      <c r="H10" s="446"/>
    </row>
    <row r="11" spans="1:8" ht="43.5" customHeight="1">
      <c r="A11" s="445" t="s">
        <v>9</v>
      </c>
      <c r="B11" s="445"/>
      <c r="C11" s="445"/>
      <c r="D11" s="445"/>
      <c r="E11" s="445"/>
      <c r="F11" s="445"/>
      <c r="G11" s="445"/>
      <c r="H11" s="445"/>
    </row>
    <row r="12" spans="1:8" ht="35.25" customHeight="1">
      <c r="A12" s="447" t="s">
        <v>10</v>
      </c>
      <c r="B12" s="447"/>
      <c r="C12" s="447"/>
      <c r="D12" s="447"/>
      <c r="E12" s="447"/>
      <c r="F12" s="447"/>
      <c r="G12" s="447"/>
      <c r="H12" s="447"/>
    </row>
    <row r="13" spans="1:8" ht="78.75" customHeight="1">
      <c r="A13" s="447" t="s">
        <v>11</v>
      </c>
      <c r="B13" s="447"/>
      <c r="C13" s="447"/>
      <c r="D13" s="447"/>
      <c r="E13" s="447"/>
      <c r="F13" s="447"/>
      <c r="G13" s="447"/>
      <c r="H13" s="447"/>
    </row>
    <row r="14" spans="1:8" ht="45" customHeight="1">
      <c r="A14" s="447" t="s">
        <v>12</v>
      </c>
      <c r="B14" s="447"/>
      <c r="C14" s="447"/>
      <c r="D14" s="447"/>
      <c r="E14" s="447"/>
      <c r="F14" s="447"/>
      <c r="G14" s="447"/>
      <c r="H14" s="447"/>
    </row>
    <row r="15" spans="1:8" ht="45" customHeight="1">
      <c r="A15" s="3">
        <v>2021</v>
      </c>
      <c r="B15" s="4" t="s">
        <v>13</v>
      </c>
      <c r="C15" s="5"/>
      <c r="D15" s="5"/>
      <c r="E15" s="5"/>
      <c r="F15" s="5"/>
      <c r="G15" s="5"/>
      <c r="H15" s="6"/>
    </row>
    <row r="17" spans="1:8" ht="18" customHeight="1">
      <c r="A17" s="7" t="s">
        <v>14</v>
      </c>
      <c r="B17" s="8"/>
      <c r="C17" s="8"/>
      <c r="D17" s="8"/>
      <c r="E17" s="8"/>
      <c r="F17" s="8"/>
      <c r="G17" s="8"/>
      <c r="H17" s="8"/>
    </row>
    <row r="18" spans="1:8" ht="28.5" customHeight="1">
      <c r="A18" s="449" t="s">
        <v>15</v>
      </c>
      <c r="B18" s="449"/>
      <c r="C18" s="449"/>
      <c r="D18" s="449"/>
      <c r="E18" s="449"/>
      <c r="F18" s="449"/>
      <c r="G18" s="449"/>
      <c r="H18" s="449"/>
    </row>
    <row r="19" spans="1:8" ht="39" customHeight="1">
      <c r="A19" s="448" t="s">
        <v>16</v>
      </c>
      <c r="B19" s="448"/>
      <c r="C19" s="448"/>
      <c r="D19" s="448"/>
      <c r="E19" s="448"/>
      <c r="F19" s="448"/>
      <c r="G19" s="448"/>
      <c r="H19" s="448"/>
    </row>
    <row r="20" spans="1:8" ht="34.5" customHeight="1">
      <c r="A20" s="448" t="s">
        <v>17</v>
      </c>
      <c r="B20" s="448"/>
      <c r="C20" s="448"/>
      <c r="D20" s="448"/>
      <c r="E20" s="448"/>
      <c r="F20" s="448"/>
      <c r="G20" s="448"/>
      <c r="H20" s="448"/>
    </row>
    <row r="21" spans="1:8" ht="23.25" customHeight="1">
      <c r="A21" s="448" t="s">
        <v>18</v>
      </c>
      <c r="B21" s="448"/>
      <c r="C21" s="448"/>
      <c r="D21" s="448"/>
      <c r="E21" s="448"/>
      <c r="F21" s="448"/>
      <c r="G21" s="448"/>
      <c r="H21" s="448"/>
    </row>
  </sheetData>
  <mergeCells count="17">
    <mergeCell ref="A20:H20"/>
    <mergeCell ref="A21:H21"/>
    <mergeCell ref="A12:H12"/>
    <mergeCell ref="A13:H13"/>
    <mergeCell ref="A14:H14"/>
    <mergeCell ref="A18:H18"/>
    <mergeCell ref="A19:H19"/>
    <mergeCell ref="A7:H7"/>
    <mergeCell ref="A8:H8"/>
    <mergeCell ref="A9:H9"/>
    <mergeCell ref="A10:H10"/>
    <mergeCell ref="A11:H11"/>
    <mergeCell ref="A1:H1"/>
    <mergeCell ref="A2:H2"/>
    <mergeCell ref="A4:H4"/>
    <mergeCell ref="A5:H5"/>
    <mergeCell ref="A6:H6"/>
  </mergeCells>
  <pageMargins left="0.55138888888888904" right="0.55138888888888904" top="0.78749999999999998" bottom="0.78749999999999998" header="0.51180555555555596" footer="0.51180555555555596"/>
  <pageSetup paperSize="9" orientation="portrait" horizontalDpi="300" verticalDpi="300"/>
  <headerFooter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O122"/>
  <sheetViews>
    <sheetView tabSelected="1" topLeftCell="B1" zoomScaleNormal="100" workbookViewId="0">
      <pane xSplit="6390" ySplit="1065" topLeftCell="AY13" activePane="bottomRight"/>
      <selection activeCell="B1" sqref="B1"/>
      <selection pane="topRight" activeCell="AY1" sqref="AY1"/>
      <selection pane="bottomLeft" activeCell="B23" sqref="A23:XFD23"/>
      <selection pane="bottomRight" activeCell="BI26" sqref="BI26"/>
    </sheetView>
  </sheetViews>
  <sheetFormatPr baseColWidth="10" defaultColWidth="13.42578125" defaultRowHeight="12.75"/>
  <cols>
    <col min="1" max="1" width="18.42578125" customWidth="1"/>
    <col min="2" max="2" width="30.42578125" customWidth="1"/>
    <col min="3" max="3" width="9.28515625" style="9" customWidth="1"/>
    <col min="4" max="4" width="17.42578125" customWidth="1"/>
    <col min="11" max="11" width="12.7109375" style="10" customWidth="1"/>
    <col min="12" max="12" width="8.85546875" style="10" customWidth="1"/>
    <col min="13" max="13" width="14.28515625" customWidth="1"/>
    <col min="16" max="16" width="16.140625" customWidth="1"/>
    <col min="17" max="18" width="14.140625" customWidth="1"/>
    <col min="19" max="19" width="8.85546875" customWidth="1"/>
    <col min="21" max="21" width="8.85546875" customWidth="1"/>
    <col min="23" max="23" width="8.85546875" customWidth="1"/>
    <col min="25" max="25" width="9" customWidth="1"/>
    <col min="26" max="26" width="10.7109375" customWidth="1"/>
    <col min="27" max="27" width="8.7109375" customWidth="1"/>
    <col min="28" max="28" width="10.7109375" customWidth="1"/>
    <col min="29" max="29" width="8.7109375" customWidth="1"/>
    <col min="30" max="30" width="10.7109375" customWidth="1"/>
    <col min="31" max="31" width="8.7109375" customWidth="1"/>
    <col min="32" max="32" width="10.7109375" customWidth="1"/>
    <col min="33" max="33" width="8.7109375" customWidth="1"/>
    <col min="34" max="34" width="10.7109375" customWidth="1"/>
    <col min="35" max="35" width="8.140625" customWidth="1"/>
    <col min="36" max="36" width="10.7109375" customWidth="1"/>
    <col min="37" max="37" width="8.140625" customWidth="1"/>
    <col min="39" max="39" width="8.140625" customWidth="1"/>
    <col min="40" max="40" width="11.5703125" customWidth="1"/>
    <col min="41" max="41" width="9.42578125" customWidth="1"/>
    <col min="42" max="42" width="11" customWidth="1"/>
    <col min="43" max="43" width="11.7109375" customWidth="1"/>
    <col min="44" max="44" width="11" customWidth="1"/>
    <col min="45" max="45" width="7.42578125" customWidth="1"/>
    <col min="46" max="46" width="11" customWidth="1"/>
    <col min="47" max="47" width="11.5703125" customWidth="1"/>
    <col min="48" max="48" width="10.85546875" customWidth="1"/>
    <col min="49" max="49" width="7.42578125" customWidth="1"/>
    <col min="50" max="50" width="14.5703125" customWidth="1"/>
    <col min="51" max="51" width="7.85546875" customWidth="1"/>
    <col min="52" max="52" width="11.85546875" customWidth="1"/>
    <col min="53" max="53" width="7.42578125" customWidth="1"/>
    <col min="54" max="54" width="10.85546875" customWidth="1"/>
    <col min="55" max="55" width="9.140625" customWidth="1"/>
    <col min="56" max="56" width="10.85546875" customWidth="1"/>
    <col min="57" max="57" width="7.85546875" customWidth="1"/>
    <col min="58" max="58" width="10.28515625" customWidth="1"/>
    <col min="59" max="59" width="9.85546875" customWidth="1"/>
    <col min="60" max="60" width="10.28515625" customWidth="1"/>
    <col min="61" max="61" width="7.42578125" customWidth="1"/>
    <col min="62" max="62" width="10.28515625" customWidth="1"/>
    <col min="63" max="63" width="56.140625" style="11" customWidth="1"/>
    <col min="64" max="64" width="42" style="12" customWidth="1"/>
  </cols>
  <sheetData>
    <row r="1" spans="1:67" s="24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0" t="s">
        <v>36</v>
      </c>
      <c r="S1" s="21"/>
      <c r="T1" s="22">
        <v>44927</v>
      </c>
      <c r="U1" s="21"/>
      <c r="V1" s="22">
        <v>44958</v>
      </c>
      <c r="W1" s="21"/>
      <c r="X1" s="22">
        <v>44986</v>
      </c>
      <c r="Y1" s="21"/>
      <c r="Z1" s="22">
        <v>45017</v>
      </c>
      <c r="AA1" s="21"/>
      <c r="AB1" s="22">
        <v>45047</v>
      </c>
      <c r="AC1" s="21"/>
      <c r="AD1" s="22">
        <v>45078</v>
      </c>
      <c r="AE1" s="21"/>
      <c r="AF1" s="22">
        <v>45087</v>
      </c>
      <c r="AG1" s="21"/>
      <c r="AH1" s="22">
        <v>45097</v>
      </c>
      <c r="AI1" s="21"/>
      <c r="AJ1" s="22">
        <v>45108</v>
      </c>
      <c r="AK1" s="21"/>
      <c r="AL1" s="22">
        <v>45117</v>
      </c>
      <c r="AM1" s="21"/>
      <c r="AN1" s="22">
        <v>45127</v>
      </c>
      <c r="AO1" s="21"/>
      <c r="AP1" s="22">
        <v>45139</v>
      </c>
      <c r="AQ1" s="21"/>
      <c r="AR1" s="22">
        <v>45148</v>
      </c>
      <c r="AS1" s="21"/>
      <c r="AT1" s="22">
        <v>45158</v>
      </c>
      <c r="AU1" s="21"/>
      <c r="AV1" s="22">
        <v>45170</v>
      </c>
      <c r="AW1" s="21"/>
      <c r="AX1" s="22">
        <v>45179</v>
      </c>
      <c r="AY1" s="21"/>
      <c r="AZ1" s="22">
        <v>45189</v>
      </c>
      <c r="BA1" s="21"/>
      <c r="BB1" s="22">
        <v>45200</v>
      </c>
      <c r="BC1" s="21"/>
      <c r="BD1" s="22">
        <v>45209</v>
      </c>
      <c r="BE1" s="21"/>
      <c r="BF1" s="22">
        <v>45219</v>
      </c>
      <c r="BG1" s="21"/>
      <c r="BH1" s="22">
        <v>45231</v>
      </c>
      <c r="BI1" s="21"/>
      <c r="BJ1" s="22">
        <v>45261</v>
      </c>
      <c r="BK1" s="23" t="s">
        <v>37</v>
      </c>
      <c r="BL1" s="23" t="s">
        <v>38</v>
      </c>
    </row>
    <row r="2" spans="1:67">
      <c r="A2" s="25" t="s">
        <v>39</v>
      </c>
      <c r="B2" s="26" t="s">
        <v>40</v>
      </c>
      <c r="C2" s="27">
        <v>16</v>
      </c>
      <c r="D2" s="28" t="s">
        <v>41</v>
      </c>
      <c r="E2" s="29">
        <v>10.095000000000001</v>
      </c>
      <c r="F2" s="30">
        <v>10.095000000000001</v>
      </c>
      <c r="G2" s="30">
        <v>10.095000000000001</v>
      </c>
      <c r="H2" s="30">
        <v>10.095000000000001</v>
      </c>
      <c r="I2" s="30">
        <v>10.095000000000001</v>
      </c>
      <c r="J2" s="30">
        <v>10.095000000000001</v>
      </c>
      <c r="K2" s="30">
        <v>10.095000000000001</v>
      </c>
      <c r="L2" s="31">
        <v>10.095000000000001</v>
      </c>
      <c r="M2" s="32">
        <v>10.095000000000001</v>
      </c>
      <c r="N2" s="32">
        <v>10.095000000000001</v>
      </c>
      <c r="O2" s="33">
        <v>10.095000000000001</v>
      </c>
      <c r="P2" s="33">
        <v>10.095000000000001</v>
      </c>
      <c r="Q2" s="33">
        <v>10.095000000000001</v>
      </c>
      <c r="R2" s="33">
        <v>10.095000000000001</v>
      </c>
      <c r="S2" s="34">
        <v>1.2</v>
      </c>
      <c r="T2" s="35">
        <f t="shared" ref="T2:T14" si="0">S2/$R2</f>
        <v>0.1188707280832095</v>
      </c>
      <c r="U2" s="34">
        <v>5.34</v>
      </c>
      <c r="V2" s="35">
        <f t="shared" ref="V2:V14" si="1">U2/$R2</f>
        <v>0.52897473997028222</v>
      </c>
      <c r="W2" s="34">
        <v>5.5</v>
      </c>
      <c r="X2" s="35">
        <f t="shared" ref="X2:X14" si="2">W2/$R2</f>
        <v>0.54482417038137687</v>
      </c>
      <c r="Y2" s="34">
        <v>5.76</v>
      </c>
      <c r="Z2" s="35">
        <f t="shared" ref="Z2:Z14" si="3">Y2/$R2</f>
        <v>0.57057949479940562</v>
      </c>
      <c r="AA2" s="34">
        <v>6.6970000000000001</v>
      </c>
      <c r="AB2" s="35">
        <f t="shared" ref="AB2:AB14" si="4">AA2/$R2</f>
        <v>0.66339772164437838</v>
      </c>
      <c r="AC2" s="34">
        <v>10.095000000000001</v>
      </c>
      <c r="AD2" s="35">
        <f t="shared" ref="AD2:AD14" si="5">AC2/$R2</f>
        <v>1</v>
      </c>
      <c r="AE2" s="34">
        <v>10.095000000000001</v>
      </c>
      <c r="AF2" s="35">
        <f t="shared" ref="AF2:AF14" si="6">AE2/$R2</f>
        <v>1</v>
      </c>
      <c r="AG2" s="34">
        <v>10.095000000000001</v>
      </c>
      <c r="AH2" s="35">
        <f t="shared" ref="AH2:AH14" si="7">AG2/$R2</f>
        <v>1</v>
      </c>
      <c r="AI2" s="34">
        <v>10.095000000000001</v>
      </c>
      <c r="AJ2" s="35">
        <f t="shared" ref="AJ2:AJ14" si="8">AI2/$R2</f>
        <v>1</v>
      </c>
      <c r="AK2" s="34">
        <v>10.055999999999999</v>
      </c>
      <c r="AL2" s="35">
        <f t="shared" ref="AL2:AL14" si="9">AK2/$R2</f>
        <v>0.99613670133729559</v>
      </c>
      <c r="AM2" s="34">
        <v>9.4253999999999998</v>
      </c>
      <c r="AN2" s="35">
        <f t="shared" ref="AN2:AN14" si="10">AM2/$R2</f>
        <v>0.93367013372956897</v>
      </c>
      <c r="AO2" s="34">
        <v>8.8756000000000004</v>
      </c>
      <c r="AP2" s="35">
        <f t="shared" ref="AP2:AP14" si="11">AO2/$R2</f>
        <v>0.87920752847944528</v>
      </c>
      <c r="AQ2" s="34">
        <v>8.1295000000000002</v>
      </c>
      <c r="AR2" s="35">
        <f t="shared" ref="AR2:AR14" si="12">AQ2/$R2</f>
        <v>0.80529965329370967</v>
      </c>
      <c r="AS2" s="34">
        <v>6.5533999999999999</v>
      </c>
      <c r="AT2" s="35">
        <f t="shared" ref="AT2:AT14" si="13">AS2/$R2</f>
        <v>0.649172857850421</v>
      </c>
      <c r="AU2" s="34">
        <v>5.4339000000000004</v>
      </c>
      <c r="AV2" s="35">
        <f t="shared" ref="AV2:AV14" si="14">AU2/$R2</f>
        <v>0.53827637444279341</v>
      </c>
      <c r="AW2" s="34">
        <v>5.2426000000000004</v>
      </c>
      <c r="AX2" s="35">
        <f t="shared" ref="AX2:AX14" si="15">AW2/$R2</f>
        <v>0.51932639920752843</v>
      </c>
      <c r="AY2" s="34">
        <v>5.0570000000000004</v>
      </c>
      <c r="AZ2" s="35">
        <f t="shared" ref="AZ2:AZ14" si="16">AY2/$R2</f>
        <v>0.50094105993065874</v>
      </c>
      <c r="BA2" s="34">
        <v>4.9086999999999996</v>
      </c>
      <c r="BB2" s="35">
        <f t="shared" ref="BB2:BB14" si="17">BA2/$R2</f>
        <v>0.48625061911837536</v>
      </c>
      <c r="BC2" s="34">
        <v>4.7773000000000003</v>
      </c>
      <c r="BD2" s="35">
        <f t="shared" ref="BD2:BD14" si="18">BC2/$R2</f>
        <v>0.47323427439326399</v>
      </c>
      <c r="BE2" s="34">
        <v>4.641</v>
      </c>
      <c r="BF2" s="35">
        <f t="shared" ref="BF2:BF14" si="19">BE2/$R2</f>
        <v>0.45973254086181276</v>
      </c>
      <c r="BG2" s="34">
        <v>4.5389999999999997</v>
      </c>
      <c r="BH2" s="35">
        <f t="shared" ref="BH2:BH14" si="20">BG2/$R2</f>
        <v>0.44962852897473993</v>
      </c>
      <c r="BI2" s="34">
        <v>5.8719999999999999</v>
      </c>
      <c r="BJ2" s="35">
        <f t="shared" ref="BJ2:BJ14" si="21">BI2/$R2</f>
        <v>0.5816740960871718</v>
      </c>
      <c r="BK2" s="36" t="s">
        <v>42</v>
      </c>
    </row>
    <row r="3" spans="1:67">
      <c r="A3" s="37" t="s">
        <v>39</v>
      </c>
      <c r="B3" s="38" t="s">
        <v>43</v>
      </c>
      <c r="C3" s="39">
        <v>22</v>
      </c>
      <c r="D3" s="40" t="s">
        <v>44</v>
      </c>
      <c r="E3" s="41">
        <v>3.2</v>
      </c>
      <c r="F3" s="42">
        <v>3.2</v>
      </c>
      <c r="G3" s="42">
        <v>3.2</v>
      </c>
      <c r="H3" s="42">
        <v>3.2</v>
      </c>
      <c r="I3" s="42">
        <v>3.2</v>
      </c>
      <c r="J3" s="42">
        <v>3.2</v>
      </c>
      <c r="K3" s="42">
        <v>3.2</v>
      </c>
      <c r="L3" s="43">
        <v>3.2</v>
      </c>
      <c r="M3" s="44">
        <v>3.2</v>
      </c>
      <c r="N3" s="44">
        <v>3.2</v>
      </c>
      <c r="O3" s="45">
        <v>3.2</v>
      </c>
      <c r="P3" s="45">
        <v>3.2</v>
      </c>
      <c r="Q3" s="45">
        <v>3.2</v>
      </c>
      <c r="R3" s="45">
        <v>3.2</v>
      </c>
      <c r="S3" s="46">
        <v>3.121</v>
      </c>
      <c r="T3" s="47">
        <f t="shared" si="0"/>
        <v>0.97531249999999992</v>
      </c>
      <c r="U3" s="46">
        <v>3.2</v>
      </c>
      <c r="V3" s="47">
        <f t="shared" si="1"/>
        <v>1</v>
      </c>
      <c r="W3" s="46">
        <v>3.2</v>
      </c>
      <c r="X3" s="47">
        <f t="shared" si="2"/>
        <v>1</v>
      </c>
      <c r="Y3" s="46">
        <v>3.117</v>
      </c>
      <c r="Z3" s="47">
        <f t="shared" si="3"/>
        <v>0.97406249999999994</v>
      </c>
      <c r="AA3" s="46">
        <v>3.2</v>
      </c>
      <c r="AB3" s="47">
        <f t="shared" si="4"/>
        <v>1</v>
      </c>
      <c r="AC3" s="46">
        <v>3.2</v>
      </c>
      <c r="AD3" s="47">
        <f t="shared" si="5"/>
        <v>1</v>
      </c>
      <c r="AE3" s="46">
        <v>3.2</v>
      </c>
      <c r="AF3" s="47">
        <f t="shared" si="6"/>
        <v>1</v>
      </c>
      <c r="AG3" s="46">
        <v>3.2</v>
      </c>
      <c r="AH3" s="47">
        <f t="shared" si="7"/>
        <v>1</v>
      </c>
      <c r="AI3" s="46">
        <v>3.1095999999999999</v>
      </c>
      <c r="AJ3" s="47">
        <f t="shared" si="8"/>
        <v>0.97174999999999989</v>
      </c>
      <c r="AK3" s="46">
        <v>3.1246</v>
      </c>
      <c r="AL3" s="47">
        <f t="shared" si="9"/>
        <v>0.97643749999999996</v>
      </c>
      <c r="AM3" s="46">
        <v>3.1032999999999999</v>
      </c>
      <c r="AN3" s="47">
        <f t="shared" si="10"/>
        <v>0.96978124999999993</v>
      </c>
      <c r="AO3" s="46">
        <v>3.0055999999999998</v>
      </c>
      <c r="AP3" s="47">
        <f t="shared" si="11"/>
        <v>0.93924999999999992</v>
      </c>
      <c r="AQ3" s="46">
        <v>2.7665999999999999</v>
      </c>
      <c r="AR3" s="47">
        <f t="shared" si="12"/>
        <v>0.8645624999999999</v>
      </c>
      <c r="AS3" s="46">
        <v>2.3898000000000001</v>
      </c>
      <c r="AT3" s="47">
        <f t="shared" si="13"/>
        <v>0.74681249999999999</v>
      </c>
      <c r="AU3" s="46">
        <v>2.0232999999999999</v>
      </c>
      <c r="AV3" s="47">
        <f t="shared" si="14"/>
        <v>0.63228124999999991</v>
      </c>
      <c r="AW3" s="46">
        <v>2.0249999999999999</v>
      </c>
      <c r="AX3" s="47">
        <f t="shared" si="15"/>
        <v>0.63281249999999989</v>
      </c>
      <c r="AY3" s="46">
        <v>2.1787000000000001</v>
      </c>
      <c r="AZ3" s="47">
        <f t="shared" si="16"/>
        <v>0.68084374999999997</v>
      </c>
      <c r="BA3" s="46">
        <v>2.2000000000000002</v>
      </c>
      <c r="BB3" s="47">
        <f t="shared" si="17"/>
        <v>0.6875</v>
      </c>
      <c r="BC3" s="46">
        <v>2.1</v>
      </c>
      <c r="BD3" s="47">
        <f t="shared" si="18"/>
        <v>0.65625</v>
      </c>
      <c r="BE3" s="46">
        <v>2.02</v>
      </c>
      <c r="BF3" s="47">
        <f t="shared" si="19"/>
        <v>0.63124999999999998</v>
      </c>
      <c r="BG3" s="46">
        <v>2.4809999999999999</v>
      </c>
      <c r="BH3" s="47">
        <f t="shared" si="20"/>
        <v>0.77531249999999996</v>
      </c>
      <c r="BI3" s="46">
        <v>3.129</v>
      </c>
      <c r="BJ3" s="47">
        <f t="shared" si="21"/>
        <v>0.97781249999999997</v>
      </c>
      <c r="BK3" s="36" t="s">
        <v>42</v>
      </c>
    </row>
    <row r="4" spans="1:67">
      <c r="A4" s="37" t="s">
        <v>39</v>
      </c>
      <c r="B4" s="38" t="s">
        <v>45</v>
      </c>
      <c r="C4" s="39">
        <v>19</v>
      </c>
      <c r="D4" s="40" t="s">
        <v>46</v>
      </c>
      <c r="E4" s="41">
        <v>3.5</v>
      </c>
      <c r="F4" s="42">
        <v>3.5</v>
      </c>
      <c r="G4" s="42">
        <v>3.5</v>
      </c>
      <c r="H4" s="42">
        <v>3.5</v>
      </c>
      <c r="I4" s="42">
        <v>3.5</v>
      </c>
      <c r="J4" s="42">
        <v>3.5</v>
      </c>
      <c r="K4" s="42">
        <v>3.5</v>
      </c>
      <c r="L4" s="43">
        <v>3.5</v>
      </c>
      <c r="M4" s="44">
        <v>3.5</v>
      </c>
      <c r="N4" s="44">
        <v>3.5</v>
      </c>
      <c r="O4" s="45">
        <v>3.5</v>
      </c>
      <c r="P4" s="45">
        <v>3.5</v>
      </c>
      <c r="Q4" s="45">
        <v>3.5</v>
      </c>
      <c r="R4" s="45">
        <v>3.5</v>
      </c>
      <c r="S4" s="46">
        <v>1.163</v>
      </c>
      <c r="T4" s="47">
        <f t="shared" si="0"/>
        <v>0.3322857142857143</v>
      </c>
      <c r="U4" s="46">
        <v>2.39</v>
      </c>
      <c r="V4" s="47">
        <f t="shared" si="1"/>
        <v>0.68285714285714294</v>
      </c>
      <c r="W4" s="46">
        <v>2.61</v>
      </c>
      <c r="X4" s="47">
        <f t="shared" si="2"/>
        <v>0.74571428571428566</v>
      </c>
      <c r="Y4" s="46">
        <v>2.8319999999999999</v>
      </c>
      <c r="Z4" s="47">
        <f t="shared" si="3"/>
        <v>0.80914285714285705</v>
      </c>
      <c r="AA4" s="46">
        <v>3.0950000000000002</v>
      </c>
      <c r="AB4" s="47">
        <f t="shared" si="4"/>
        <v>0.88428571428571434</v>
      </c>
      <c r="AC4" s="46">
        <v>3.2909999999999999</v>
      </c>
      <c r="AD4" s="47">
        <f t="shared" si="5"/>
        <v>0.94028571428571428</v>
      </c>
      <c r="AE4" s="46">
        <v>3.3460000000000001</v>
      </c>
      <c r="AF4" s="47">
        <f t="shared" si="6"/>
        <v>0.95600000000000007</v>
      </c>
      <c r="AG4" s="46">
        <v>3.4477000000000002</v>
      </c>
      <c r="AH4" s="47">
        <f t="shared" si="7"/>
        <v>0.98505714285714296</v>
      </c>
      <c r="AI4" s="46">
        <v>3.4782999999999999</v>
      </c>
      <c r="AJ4" s="47">
        <f t="shared" si="8"/>
        <v>0.99380000000000002</v>
      </c>
      <c r="AK4" s="46">
        <v>3.4275000000000002</v>
      </c>
      <c r="AL4" s="47">
        <f t="shared" si="9"/>
        <v>0.97928571428571431</v>
      </c>
      <c r="AM4" s="46">
        <v>3.3140000000000001</v>
      </c>
      <c r="AN4" s="47">
        <f t="shared" si="10"/>
        <v>0.94685714285714284</v>
      </c>
      <c r="AO4" s="46">
        <v>3.1221999999999999</v>
      </c>
      <c r="AP4" s="47">
        <f t="shared" si="11"/>
        <v>0.89205714285714277</v>
      </c>
      <c r="AQ4" s="46">
        <v>2.8226</v>
      </c>
      <c r="AR4" s="47">
        <f t="shared" si="12"/>
        <v>0.80645714285714287</v>
      </c>
      <c r="AS4" s="46">
        <v>2.3441999999999998</v>
      </c>
      <c r="AT4" s="47">
        <f t="shared" si="13"/>
        <v>0.66977142857142857</v>
      </c>
      <c r="AU4" s="46">
        <v>1.96</v>
      </c>
      <c r="AV4" s="47">
        <f t="shared" si="14"/>
        <v>0.55999999999999994</v>
      </c>
      <c r="AW4" s="46">
        <v>1.9041999999999999</v>
      </c>
      <c r="AX4" s="47">
        <f t="shared" si="15"/>
        <v>0.54405714285714279</v>
      </c>
      <c r="AY4" s="46">
        <v>1.8808</v>
      </c>
      <c r="AZ4" s="47">
        <f t="shared" si="16"/>
        <v>0.53737142857142861</v>
      </c>
      <c r="BA4" s="46">
        <v>1.861</v>
      </c>
      <c r="BB4" s="47">
        <f t="shared" si="17"/>
        <v>0.53171428571428569</v>
      </c>
      <c r="BC4" s="46">
        <v>1.8181</v>
      </c>
      <c r="BD4" s="47">
        <f t="shared" si="18"/>
        <v>0.51945714285714284</v>
      </c>
      <c r="BE4" s="46">
        <v>1.7949999999999999</v>
      </c>
      <c r="BF4" s="47">
        <f t="shared" si="19"/>
        <v>0.51285714285714279</v>
      </c>
      <c r="BG4" s="46">
        <v>1.855</v>
      </c>
      <c r="BH4" s="47">
        <f t="shared" si="20"/>
        <v>0.53</v>
      </c>
      <c r="BI4" s="46">
        <v>2.7949999999999999</v>
      </c>
      <c r="BJ4" s="47">
        <f t="shared" si="21"/>
        <v>0.7985714285714286</v>
      </c>
      <c r="BK4" s="36" t="s">
        <v>42</v>
      </c>
      <c r="BM4" s="48" t="s">
        <v>47</v>
      </c>
      <c r="BN4" s="49"/>
    </row>
    <row r="5" spans="1:67">
      <c r="A5" s="37" t="s">
        <v>39</v>
      </c>
      <c r="B5" s="38" t="s">
        <v>48</v>
      </c>
      <c r="C5" s="39">
        <v>44</v>
      </c>
      <c r="D5" s="40" t="s">
        <v>48</v>
      </c>
      <c r="E5" s="41">
        <v>1.85</v>
      </c>
      <c r="F5" s="42">
        <v>1.85</v>
      </c>
      <c r="G5" s="42">
        <v>1.85</v>
      </c>
      <c r="H5" s="42">
        <v>1.85</v>
      </c>
      <c r="I5" s="42">
        <v>1.85</v>
      </c>
      <c r="J5" s="42">
        <v>1.85</v>
      </c>
      <c r="K5" s="42">
        <v>1.85</v>
      </c>
      <c r="L5" s="43">
        <v>1.85</v>
      </c>
      <c r="M5" s="44">
        <v>1.85</v>
      </c>
      <c r="N5" s="44">
        <v>1.85</v>
      </c>
      <c r="O5" s="45">
        <v>1.85</v>
      </c>
      <c r="P5" s="45">
        <v>1.85</v>
      </c>
      <c r="Q5" s="45">
        <v>1.85</v>
      </c>
      <c r="R5" s="45">
        <v>1.85</v>
      </c>
      <c r="S5" s="46">
        <v>0.64400000000000002</v>
      </c>
      <c r="T5" s="47">
        <f t="shared" si="0"/>
        <v>0.34810810810810811</v>
      </c>
      <c r="U5" s="46">
        <v>1.41</v>
      </c>
      <c r="V5" s="47">
        <f t="shared" si="1"/>
        <v>0.76216216216216204</v>
      </c>
      <c r="W5" s="46">
        <v>1.51</v>
      </c>
      <c r="X5" s="47">
        <f t="shared" si="2"/>
        <v>0.81621621621621621</v>
      </c>
      <c r="Y5" s="46">
        <v>1.7290000000000001</v>
      </c>
      <c r="Z5" s="47">
        <f t="shared" si="3"/>
        <v>0.9345945945945946</v>
      </c>
      <c r="AA5" s="46">
        <v>1.85</v>
      </c>
      <c r="AB5" s="47">
        <f t="shared" si="4"/>
        <v>1</v>
      </c>
      <c r="AC5" s="46">
        <v>1.85</v>
      </c>
      <c r="AD5" s="47">
        <f t="shared" si="5"/>
        <v>1</v>
      </c>
      <c r="AE5" s="46">
        <v>1.85</v>
      </c>
      <c r="AF5" s="47">
        <f t="shared" si="6"/>
        <v>1</v>
      </c>
      <c r="AG5" s="46">
        <v>1.85</v>
      </c>
      <c r="AH5" s="47">
        <f t="shared" si="7"/>
        <v>1</v>
      </c>
      <c r="AI5" s="46">
        <v>1.85</v>
      </c>
      <c r="AJ5" s="47">
        <f t="shared" si="8"/>
        <v>1</v>
      </c>
      <c r="AK5" s="46">
        <v>1.7563</v>
      </c>
      <c r="AL5" s="47">
        <f t="shared" si="9"/>
        <v>0.94935135135135129</v>
      </c>
      <c r="AM5" s="46">
        <v>1.5938000000000001</v>
      </c>
      <c r="AN5" s="47">
        <f t="shared" si="10"/>
        <v>0.86151351351351357</v>
      </c>
      <c r="AO5" s="46">
        <v>1.444</v>
      </c>
      <c r="AP5" s="47">
        <f t="shared" si="11"/>
        <v>0.78054054054054045</v>
      </c>
      <c r="AQ5" s="46">
        <v>1.2345999999999999</v>
      </c>
      <c r="AR5" s="47">
        <f t="shared" si="12"/>
        <v>0.66735135135135126</v>
      </c>
      <c r="AS5" s="46">
        <v>0.92430999999999996</v>
      </c>
      <c r="AT5" s="47">
        <f t="shared" si="13"/>
        <v>0.49962702702702699</v>
      </c>
      <c r="AU5" s="46">
        <v>0.70086000000000004</v>
      </c>
      <c r="AV5" s="47">
        <f t="shared" si="14"/>
        <v>0.37884324324324326</v>
      </c>
      <c r="AW5" s="46">
        <v>0.67691000000000001</v>
      </c>
      <c r="AX5" s="47">
        <f t="shared" si="15"/>
        <v>0.36589729729729731</v>
      </c>
      <c r="AY5" s="46">
        <v>0.76493</v>
      </c>
      <c r="AZ5" s="47">
        <f t="shared" si="16"/>
        <v>0.41347567567567567</v>
      </c>
      <c r="BA5" s="46">
        <v>0.75624999999999998</v>
      </c>
      <c r="BB5" s="47">
        <f t="shared" si="17"/>
        <v>0.40878378378378377</v>
      </c>
      <c r="BC5" s="46">
        <v>0.74453999999999998</v>
      </c>
      <c r="BD5" s="47">
        <f t="shared" si="18"/>
        <v>0.40245405405405404</v>
      </c>
      <c r="BE5" s="46">
        <v>0.74199999999999999</v>
      </c>
      <c r="BF5" s="47">
        <f t="shared" si="19"/>
        <v>0.40108108108108104</v>
      </c>
      <c r="BG5" s="46">
        <v>0.76200000000000001</v>
      </c>
      <c r="BH5" s="47">
        <f t="shared" si="20"/>
        <v>0.4118918918918919</v>
      </c>
      <c r="BI5" s="46">
        <v>1.85</v>
      </c>
      <c r="BJ5" s="47">
        <f t="shared" si="21"/>
        <v>1</v>
      </c>
      <c r="BK5" s="36" t="s">
        <v>42</v>
      </c>
      <c r="BM5" t="s">
        <v>49</v>
      </c>
    </row>
    <row r="6" spans="1:67">
      <c r="A6" s="37" t="s">
        <v>39</v>
      </c>
      <c r="B6" s="38" t="s">
        <v>50</v>
      </c>
      <c r="C6" s="39">
        <v>49</v>
      </c>
      <c r="D6" s="40" t="s">
        <v>50</v>
      </c>
      <c r="E6" s="41">
        <v>20</v>
      </c>
      <c r="F6" s="42">
        <v>20</v>
      </c>
      <c r="G6" s="42">
        <v>20</v>
      </c>
      <c r="H6" s="42">
        <v>20</v>
      </c>
      <c r="I6" s="42">
        <v>20</v>
      </c>
      <c r="J6" s="42">
        <v>20</v>
      </c>
      <c r="K6" s="42">
        <v>20</v>
      </c>
      <c r="L6" s="43">
        <v>20</v>
      </c>
      <c r="M6" s="44">
        <v>20</v>
      </c>
      <c r="N6" s="44">
        <v>20</v>
      </c>
      <c r="O6" s="45">
        <v>20</v>
      </c>
      <c r="P6" s="45">
        <v>20</v>
      </c>
      <c r="Q6" s="45">
        <v>20</v>
      </c>
      <c r="R6" s="45">
        <v>20</v>
      </c>
      <c r="S6" s="46">
        <v>4.1529999999999996</v>
      </c>
      <c r="T6" s="47">
        <f t="shared" si="0"/>
        <v>0.20764999999999997</v>
      </c>
      <c r="U6" s="46">
        <v>9.5500000000000007</v>
      </c>
      <c r="V6" s="47">
        <f t="shared" si="1"/>
        <v>0.47750000000000004</v>
      </c>
      <c r="W6" s="46">
        <v>10.4</v>
      </c>
      <c r="X6" s="47">
        <f t="shared" si="2"/>
        <v>0.52</v>
      </c>
      <c r="Y6" s="46">
        <v>12.135</v>
      </c>
      <c r="Z6" s="47">
        <f t="shared" si="3"/>
        <v>0.60675000000000001</v>
      </c>
      <c r="AA6" s="46">
        <v>14.541</v>
      </c>
      <c r="AB6" s="47">
        <f t="shared" si="4"/>
        <v>0.72704999999999997</v>
      </c>
      <c r="AC6" s="46">
        <v>16.817</v>
      </c>
      <c r="AD6" s="47">
        <f t="shared" si="5"/>
        <v>0.84084999999999999</v>
      </c>
      <c r="AE6" s="46">
        <v>17.462</v>
      </c>
      <c r="AF6" s="47">
        <f t="shared" si="6"/>
        <v>0.87309999999999999</v>
      </c>
      <c r="AG6" s="46">
        <v>19.111000000000001</v>
      </c>
      <c r="AH6" s="47">
        <f t="shared" si="7"/>
        <v>0.95555000000000001</v>
      </c>
      <c r="AI6" s="46">
        <v>19.779</v>
      </c>
      <c r="AJ6" s="47">
        <f t="shared" si="8"/>
        <v>0.98895</v>
      </c>
      <c r="AK6" s="46">
        <v>19.635000000000002</v>
      </c>
      <c r="AL6" s="47">
        <f t="shared" si="9"/>
        <v>0.98175000000000012</v>
      </c>
      <c r="AM6" s="46">
        <v>18.427</v>
      </c>
      <c r="AN6" s="47">
        <f t="shared" si="10"/>
        <v>0.92135</v>
      </c>
      <c r="AO6" s="46">
        <v>16.768000000000001</v>
      </c>
      <c r="AP6" s="47">
        <f t="shared" si="11"/>
        <v>0.83840000000000003</v>
      </c>
      <c r="AQ6" s="46">
        <v>14.968999999999999</v>
      </c>
      <c r="AR6" s="47">
        <f t="shared" si="12"/>
        <v>0.74844999999999995</v>
      </c>
      <c r="AS6" s="46">
        <v>12.489000000000001</v>
      </c>
      <c r="AT6" s="47">
        <f t="shared" si="13"/>
        <v>0.62445000000000006</v>
      </c>
      <c r="AU6" s="46">
        <v>10.23</v>
      </c>
      <c r="AV6" s="47">
        <f t="shared" si="14"/>
        <v>0.51150000000000007</v>
      </c>
      <c r="AW6" s="46">
        <v>9.5563000000000002</v>
      </c>
      <c r="AX6" s="47">
        <f t="shared" si="15"/>
        <v>0.47781499999999999</v>
      </c>
      <c r="AY6" s="46">
        <v>9.1374999999999993</v>
      </c>
      <c r="AZ6" s="47">
        <f t="shared" si="16"/>
        <v>0.45687499999999998</v>
      </c>
      <c r="BA6" s="46">
        <v>8.7890999999999995</v>
      </c>
      <c r="BB6" s="47">
        <f t="shared" si="17"/>
        <v>0.43945499999999998</v>
      </c>
      <c r="BC6" s="46">
        <v>8.4291999999999998</v>
      </c>
      <c r="BD6" s="47">
        <f t="shared" si="18"/>
        <v>0.42146</v>
      </c>
      <c r="BE6" s="46">
        <v>8.2379999999999995</v>
      </c>
      <c r="BF6" s="47">
        <f t="shared" si="19"/>
        <v>0.41189999999999999</v>
      </c>
      <c r="BG6" s="46">
        <v>8.3640000000000008</v>
      </c>
      <c r="BH6" s="47">
        <f t="shared" si="20"/>
        <v>0.41820000000000002</v>
      </c>
      <c r="BI6" s="46">
        <v>12.7</v>
      </c>
      <c r="BJ6" s="47">
        <f t="shared" si="21"/>
        <v>0.63500000000000001</v>
      </c>
      <c r="BK6" s="36" t="s">
        <v>42</v>
      </c>
      <c r="BM6" t="s">
        <v>51</v>
      </c>
    </row>
    <row r="7" spans="1:67">
      <c r="A7" s="37" t="s">
        <v>39</v>
      </c>
      <c r="B7" s="38" t="s">
        <v>52</v>
      </c>
      <c r="C7" s="39">
        <v>48</v>
      </c>
      <c r="D7" s="40" t="s">
        <v>52</v>
      </c>
      <c r="E7" s="41">
        <v>3.2</v>
      </c>
      <c r="F7" s="42">
        <v>3.2</v>
      </c>
      <c r="G7" s="42">
        <v>3.15</v>
      </c>
      <c r="H7" s="42">
        <v>3.15</v>
      </c>
      <c r="I7" s="42">
        <v>3.15</v>
      </c>
      <c r="J7" s="42">
        <v>3.15</v>
      </c>
      <c r="K7" s="42">
        <v>3.15</v>
      </c>
      <c r="L7" s="43">
        <v>3.15</v>
      </c>
      <c r="M7" s="44">
        <v>3.15</v>
      </c>
      <c r="N7" s="44">
        <v>3.15</v>
      </c>
      <c r="O7" s="45">
        <v>3.15</v>
      </c>
      <c r="P7" s="45">
        <v>3.15</v>
      </c>
      <c r="Q7" s="45">
        <v>3.15</v>
      </c>
      <c r="R7" s="45">
        <v>3.15</v>
      </c>
      <c r="S7" s="46">
        <v>1.667</v>
      </c>
      <c r="T7" s="47">
        <f t="shared" si="0"/>
        <v>0.52920634920634924</v>
      </c>
      <c r="U7" s="46">
        <v>3.15</v>
      </c>
      <c r="V7" s="47">
        <f t="shared" si="1"/>
        <v>1</v>
      </c>
      <c r="W7" s="46">
        <v>3.15</v>
      </c>
      <c r="X7" s="47">
        <f t="shared" si="2"/>
        <v>1</v>
      </c>
      <c r="Y7" s="46">
        <v>3.15</v>
      </c>
      <c r="Z7" s="47">
        <f t="shared" si="3"/>
        <v>1</v>
      </c>
      <c r="AA7" s="46">
        <v>3.15</v>
      </c>
      <c r="AB7" s="47">
        <f t="shared" si="4"/>
        <v>1</v>
      </c>
      <c r="AC7" s="46">
        <v>3.15</v>
      </c>
      <c r="AD7" s="47">
        <f t="shared" si="5"/>
        <v>1</v>
      </c>
      <c r="AE7" s="46">
        <v>3.15</v>
      </c>
      <c r="AF7" s="47">
        <f t="shared" si="6"/>
        <v>1</v>
      </c>
      <c r="AG7" s="46">
        <v>3.15</v>
      </c>
      <c r="AH7" s="47">
        <f t="shared" si="7"/>
        <v>1</v>
      </c>
      <c r="AI7" s="46">
        <v>3.1274000000000002</v>
      </c>
      <c r="AJ7" s="47">
        <f t="shared" si="8"/>
        <v>0.99282539682539694</v>
      </c>
      <c r="AK7" s="46">
        <v>3.1324000000000001</v>
      </c>
      <c r="AL7" s="47">
        <f t="shared" si="9"/>
        <v>0.99441269841269841</v>
      </c>
      <c r="AM7" s="46">
        <v>2.9464999999999999</v>
      </c>
      <c r="AN7" s="47">
        <f t="shared" si="10"/>
        <v>0.93539682539682534</v>
      </c>
      <c r="AO7" s="46">
        <v>2.78</v>
      </c>
      <c r="AP7" s="47">
        <f t="shared" si="11"/>
        <v>0.88253968253968251</v>
      </c>
      <c r="AQ7" s="46">
        <v>2.4857</v>
      </c>
      <c r="AR7" s="47">
        <f t="shared" si="12"/>
        <v>0.7891111111111111</v>
      </c>
      <c r="AS7" s="46">
        <v>2.0746000000000002</v>
      </c>
      <c r="AT7" s="47">
        <f t="shared" si="13"/>
        <v>0.65860317460317475</v>
      </c>
      <c r="AU7" s="46">
        <v>1.8360000000000001</v>
      </c>
      <c r="AV7" s="47">
        <f t="shared" si="14"/>
        <v>0.58285714285714285</v>
      </c>
      <c r="AW7" s="46">
        <v>1.4939</v>
      </c>
      <c r="AX7" s="47">
        <f t="shared" si="15"/>
        <v>0.47425396825396826</v>
      </c>
      <c r="AY7" s="46">
        <v>1.3913</v>
      </c>
      <c r="AZ7" s="47">
        <f t="shared" si="16"/>
        <v>0.44168253968253968</v>
      </c>
      <c r="BA7" s="46">
        <v>1.2988</v>
      </c>
      <c r="BB7" s="47">
        <f t="shared" si="17"/>
        <v>0.4123174603174603</v>
      </c>
      <c r="BC7" s="46">
        <v>1.0852999999999999</v>
      </c>
      <c r="BD7" s="47">
        <f t="shared" si="18"/>
        <v>0.34453968253968253</v>
      </c>
      <c r="BE7" s="46">
        <v>1.0369999999999999</v>
      </c>
      <c r="BF7" s="47">
        <f t="shared" si="19"/>
        <v>0.32920634920634917</v>
      </c>
      <c r="BG7" s="46">
        <v>1.1719999999999999</v>
      </c>
      <c r="BH7" s="47">
        <f t="shared" si="20"/>
        <v>0.37206349206349204</v>
      </c>
      <c r="BI7" s="46">
        <v>3.15</v>
      </c>
      <c r="BJ7" s="47">
        <f t="shared" si="21"/>
        <v>1</v>
      </c>
      <c r="BK7" s="36" t="s">
        <v>42</v>
      </c>
      <c r="BM7" t="s">
        <v>53</v>
      </c>
    </row>
    <row r="8" spans="1:67">
      <c r="A8" s="37" t="s">
        <v>39</v>
      </c>
      <c r="B8" s="38" t="s">
        <v>54</v>
      </c>
      <c r="C8" s="39">
        <v>18</v>
      </c>
      <c r="D8" s="40" t="s">
        <v>55</v>
      </c>
      <c r="E8" s="41">
        <v>2.5009999999999999</v>
      </c>
      <c r="F8" s="42">
        <v>2.5009999999999999</v>
      </c>
      <c r="G8" s="42">
        <v>2.5</v>
      </c>
      <c r="H8" s="42">
        <v>2.5</v>
      </c>
      <c r="I8" s="42">
        <v>2.5</v>
      </c>
      <c r="J8" s="42">
        <v>2.5</v>
      </c>
      <c r="K8" s="42">
        <v>2.5</v>
      </c>
      <c r="L8" s="43">
        <v>2.5</v>
      </c>
      <c r="M8" s="44">
        <v>2.5</v>
      </c>
      <c r="N8" s="44">
        <v>2.5</v>
      </c>
      <c r="O8" s="45">
        <v>2.5</v>
      </c>
      <c r="P8" s="45">
        <v>2.5</v>
      </c>
      <c r="Q8" s="45">
        <v>2.5</v>
      </c>
      <c r="R8" s="45">
        <v>2.5</v>
      </c>
      <c r="S8" s="46">
        <v>1.0309999999999999</v>
      </c>
      <c r="T8" s="47">
        <f t="shared" si="0"/>
        <v>0.41239999999999999</v>
      </c>
      <c r="U8" s="46">
        <v>2.5</v>
      </c>
      <c r="V8" s="47">
        <f t="shared" si="1"/>
        <v>1</v>
      </c>
      <c r="W8" s="46">
        <v>2.5</v>
      </c>
      <c r="X8" s="47">
        <f t="shared" si="2"/>
        <v>1</v>
      </c>
      <c r="Y8" s="46">
        <v>2.496</v>
      </c>
      <c r="Z8" s="47">
        <f t="shared" si="3"/>
        <v>0.99839999999999995</v>
      </c>
      <c r="AA8" s="46">
        <v>2.5</v>
      </c>
      <c r="AB8" s="47">
        <f t="shared" si="4"/>
        <v>1</v>
      </c>
      <c r="AC8" s="46">
        <v>2.5</v>
      </c>
      <c r="AD8" s="47">
        <f t="shared" si="5"/>
        <v>1</v>
      </c>
      <c r="AE8" s="46">
        <v>2.5</v>
      </c>
      <c r="AF8" s="47">
        <f t="shared" si="6"/>
        <v>1</v>
      </c>
      <c r="AG8" s="46">
        <v>2.4763999999999999</v>
      </c>
      <c r="AH8" s="47">
        <f t="shared" si="7"/>
        <v>0.99056</v>
      </c>
      <c r="AI8" s="46">
        <v>2.4748000000000001</v>
      </c>
      <c r="AJ8" s="47">
        <f t="shared" si="8"/>
        <v>0.98992000000000002</v>
      </c>
      <c r="AK8" s="46">
        <v>2.42</v>
      </c>
      <c r="AL8" s="47">
        <f t="shared" si="9"/>
        <v>0.96799999999999997</v>
      </c>
      <c r="AM8" s="46">
        <v>2.2198000000000002</v>
      </c>
      <c r="AN8" s="47">
        <f t="shared" si="10"/>
        <v>0.88792000000000004</v>
      </c>
      <c r="AO8" s="46">
        <v>1.8909</v>
      </c>
      <c r="AP8" s="47">
        <f t="shared" si="11"/>
        <v>0.75636000000000003</v>
      </c>
      <c r="AQ8" s="46">
        <v>1.5488999999999999</v>
      </c>
      <c r="AR8" s="47">
        <f t="shared" si="12"/>
        <v>0.61956</v>
      </c>
      <c r="AS8" s="46">
        <v>1.1738</v>
      </c>
      <c r="AT8" s="47">
        <f t="shared" si="13"/>
        <v>0.46951999999999999</v>
      </c>
      <c r="AU8" s="46">
        <v>0.85221000000000002</v>
      </c>
      <c r="AV8" s="47">
        <f t="shared" si="14"/>
        <v>0.34088400000000002</v>
      </c>
      <c r="AW8" s="46">
        <v>0.78307000000000004</v>
      </c>
      <c r="AX8" s="47">
        <f t="shared" si="15"/>
        <v>0.31322800000000001</v>
      </c>
      <c r="AY8" s="46">
        <v>0.72079000000000004</v>
      </c>
      <c r="AZ8" s="47">
        <f t="shared" si="16"/>
        <v>0.28831600000000002</v>
      </c>
      <c r="BA8" s="46">
        <v>0.70874999999999999</v>
      </c>
      <c r="BB8" s="47">
        <f t="shared" si="17"/>
        <v>0.28349999999999997</v>
      </c>
      <c r="BC8" s="46">
        <v>0.66910000000000003</v>
      </c>
      <c r="BD8" s="47">
        <f t="shared" si="18"/>
        <v>0.26763999999999999</v>
      </c>
      <c r="BE8" s="46">
        <v>0.64600000000000002</v>
      </c>
      <c r="BF8" s="47">
        <f t="shared" si="19"/>
        <v>0.25840000000000002</v>
      </c>
      <c r="BG8" s="46">
        <v>0.69699999999999995</v>
      </c>
      <c r="BH8" s="47">
        <f t="shared" si="20"/>
        <v>0.27879999999999999</v>
      </c>
      <c r="BI8" s="46">
        <v>2.5</v>
      </c>
      <c r="BJ8" s="47">
        <f t="shared" si="21"/>
        <v>1</v>
      </c>
      <c r="BK8" s="36" t="s">
        <v>42</v>
      </c>
    </row>
    <row r="9" spans="1:67">
      <c r="A9" s="37" t="s">
        <v>39</v>
      </c>
      <c r="B9" s="38" t="s">
        <v>56</v>
      </c>
      <c r="C9" s="39">
        <v>39</v>
      </c>
      <c r="D9" s="40" t="s">
        <v>39</v>
      </c>
      <c r="E9" s="41">
        <v>11.7</v>
      </c>
      <c r="F9" s="42">
        <v>11.7</v>
      </c>
      <c r="G9" s="42">
        <v>11.7</v>
      </c>
      <c r="H9" s="42">
        <v>11.7</v>
      </c>
      <c r="I9" s="42">
        <v>11.7</v>
      </c>
      <c r="J9" s="42">
        <v>11.7</v>
      </c>
      <c r="K9" s="42">
        <v>11.7</v>
      </c>
      <c r="L9" s="43">
        <v>11.7</v>
      </c>
      <c r="M9" s="44">
        <v>11.7</v>
      </c>
      <c r="N9" s="44">
        <v>11.7</v>
      </c>
      <c r="O9" s="45">
        <v>11.7</v>
      </c>
      <c r="P9" s="45">
        <v>11.7</v>
      </c>
      <c r="Q9" s="45">
        <v>11.7</v>
      </c>
      <c r="R9" s="45">
        <v>11.7</v>
      </c>
      <c r="S9" s="46">
        <v>6.149</v>
      </c>
      <c r="T9" s="47">
        <f t="shared" si="0"/>
        <v>0.52555555555555555</v>
      </c>
      <c r="U9" s="46">
        <v>6.27</v>
      </c>
      <c r="V9" s="47">
        <f t="shared" si="1"/>
        <v>0.53589743589743588</v>
      </c>
      <c r="W9" s="46">
        <v>6.26</v>
      </c>
      <c r="X9" s="47">
        <f t="shared" si="2"/>
        <v>0.53504273504273503</v>
      </c>
      <c r="Y9" s="46">
        <v>6.4320000000000004</v>
      </c>
      <c r="Z9" s="47">
        <f t="shared" si="3"/>
        <v>0.54974358974358983</v>
      </c>
      <c r="AA9" s="46">
        <v>6.86</v>
      </c>
      <c r="AB9" s="47">
        <f t="shared" si="4"/>
        <v>0.58632478632478635</v>
      </c>
      <c r="AC9" s="46">
        <v>7.6760000000000002</v>
      </c>
      <c r="AD9" s="47">
        <f t="shared" si="5"/>
        <v>0.65606837606837609</v>
      </c>
      <c r="AE9" s="46">
        <v>8.36</v>
      </c>
      <c r="AF9" s="47">
        <f t="shared" si="6"/>
        <v>0.71452991452991454</v>
      </c>
      <c r="AG9" s="46">
        <v>8.7111000000000001</v>
      </c>
      <c r="AH9" s="47">
        <f t="shared" si="7"/>
        <v>0.74453846153846159</v>
      </c>
      <c r="AI9" s="46">
        <v>9.0967000000000002</v>
      </c>
      <c r="AJ9" s="47">
        <f t="shared" si="8"/>
        <v>0.77749572649572651</v>
      </c>
      <c r="AK9" s="46">
        <v>9.2929999999999993</v>
      </c>
      <c r="AL9" s="47">
        <f t="shared" si="9"/>
        <v>0.79427350427350429</v>
      </c>
      <c r="AM9" s="46">
        <v>9.3768999999999991</v>
      </c>
      <c r="AN9" s="47">
        <f t="shared" si="10"/>
        <v>0.8014444444444444</v>
      </c>
      <c r="AO9" s="46">
        <v>9.4809999999999999</v>
      </c>
      <c r="AP9" s="47">
        <f t="shared" si="11"/>
        <v>0.81034188034188037</v>
      </c>
      <c r="AQ9" s="46">
        <v>9.3690999999999995</v>
      </c>
      <c r="AR9" s="47">
        <f t="shared" si="12"/>
        <v>0.80077777777777781</v>
      </c>
      <c r="AS9" s="46">
        <v>8.3610000000000007</v>
      </c>
      <c r="AT9" s="47">
        <f t="shared" si="13"/>
        <v>0.71461538461538476</v>
      </c>
      <c r="AU9" s="46">
        <v>7.7732000000000001</v>
      </c>
      <c r="AV9" s="47">
        <f t="shared" si="14"/>
        <v>0.66437606837606844</v>
      </c>
      <c r="AW9" s="46">
        <v>7.8121999999999998</v>
      </c>
      <c r="AX9" s="47">
        <f t="shared" si="15"/>
        <v>0.66770940170940174</v>
      </c>
      <c r="AY9" s="46">
        <v>7.8329000000000004</v>
      </c>
      <c r="AZ9" s="47">
        <f t="shared" si="16"/>
        <v>0.6694786324786326</v>
      </c>
      <c r="BA9" s="46">
        <v>7.8375000000000004</v>
      </c>
      <c r="BB9" s="47">
        <f t="shared" si="17"/>
        <v>0.66987179487179493</v>
      </c>
      <c r="BC9" s="46">
        <v>7.8247999999999998</v>
      </c>
      <c r="BD9" s="47">
        <f t="shared" si="18"/>
        <v>0.66878632478632483</v>
      </c>
      <c r="BE9" s="46">
        <v>7.8220000000000001</v>
      </c>
      <c r="BF9" s="47">
        <f t="shared" si="19"/>
        <v>0.66854700854700855</v>
      </c>
      <c r="BG9" s="46">
        <v>7.9470000000000001</v>
      </c>
      <c r="BH9" s="47">
        <f t="shared" si="20"/>
        <v>0.6792307692307693</v>
      </c>
      <c r="BI9" s="46">
        <v>7.1550000000000002</v>
      </c>
      <c r="BJ9" s="47">
        <f t="shared" si="21"/>
        <v>0.61153846153846159</v>
      </c>
      <c r="BK9" s="36" t="s">
        <v>42</v>
      </c>
    </row>
    <row r="10" spans="1:67">
      <c r="A10" s="37" t="s">
        <v>39</v>
      </c>
      <c r="B10" s="38" t="s">
        <v>57</v>
      </c>
      <c r="C10" s="39">
        <v>17</v>
      </c>
      <c r="D10" s="40" t="s">
        <v>57</v>
      </c>
      <c r="E10" s="41">
        <v>5.21</v>
      </c>
      <c r="F10" s="42">
        <v>5.21</v>
      </c>
      <c r="G10" s="42">
        <v>5.2</v>
      </c>
      <c r="H10" s="42">
        <v>5.2</v>
      </c>
      <c r="I10" s="42">
        <v>5.2</v>
      </c>
      <c r="J10" s="42">
        <v>5.2</v>
      </c>
      <c r="K10" s="42">
        <v>5.2</v>
      </c>
      <c r="L10" s="43">
        <v>5.2</v>
      </c>
      <c r="M10" s="44">
        <v>5.2</v>
      </c>
      <c r="N10" s="44">
        <v>5.2</v>
      </c>
      <c r="O10" s="45">
        <v>5.2</v>
      </c>
      <c r="P10" s="45">
        <v>5.2</v>
      </c>
      <c r="Q10" s="45">
        <v>5.2</v>
      </c>
      <c r="R10" s="45">
        <v>5.2</v>
      </c>
      <c r="S10" s="46">
        <v>0.23200000000000001</v>
      </c>
      <c r="T10" s="47">
        <f t="shared" si="0"/>
        <v>4.4615384615384619E-2</v>
      </c>
      <c r="U10" s="46">
        <v>0.23</v>
      </c>
      <c r="V10" s="47">
        <f t="shared" si="1"/>
        <v>4.4230769230769233E-2</v>
      </c>
      <c r="W10" s="46">
        <v>0.23</v>
      </c>
      <c r="X10" s="47">
        <f t="shared" si="2"/>
        <v>4.4230769230769233E-2</v>
      </c>
      <c r="Y10" s="46">
        <v>0.223</v>
      </c>
      <c r="Z10" s="47">
        <f t="shared" si="3"/>
        <v>4.2884615384615382E-2</v>
      </c>
      <c r="AA10" s="46">
        <v>0.152</v>
      </c>
      <c r="AB10" s="47">
        <f t="shared" si="4"/>
        <v>2.923076923076923E-2</v>
      </c>
      <c r="AC10" s="46">
        <v>0.03</v>
      </c>
      <c r="AD10" s="47">
        <f t="shared" si="5"/>
        <v>5.7692307692307687E-3</v>
      </c>
      <c r="AE10" s="46">
        <v>0.03</v>
      </c>
      <c r="AF10" s="47">
        <f t="shared" si="6"/>
        <v>5.7692307692307687E-3</v>
      </c>
      <c r="AG10" s="46">
        <v>0.03</v>
      </c>
      <c r="AH10" s="47">
        <f t="shared" si="7"/>
        <v>5.7692307692307687E-3</v>
      </c>
      <c r="AI10" s="46">
        <v>2.9793E-2</v>
      </c>
      <c r="AJ10" s="47">
        <f t="shared" si="8"/>
        <v>5.7294230769230764E-3</v>
      </c>
      <c r="AK10" s="46">
        <v>0</v>
      </c>
      <c r="AL10" s="47">
        <f t="shared" si="9"/>
        <v>0</v>
      </c>
      <c r="AM10" s="46">
        <v>0</v>
      </c>
      <c r="AN10" s="47">
        <f t="shared" si="10"/>
        <v>0</v>
      </c>
      <c r="AO10" s="46">
        <v>0</v>
      </c>
      <c r="AP10" s="47">
        <f t="shared" si="11"/>
        <v>0</v>
      </c>
      <c r="AQ10" s="46">
        <v>0</v>
      </c>
      <c r="AR10" s="47">
        <f t="shared" si="12"/>
        <v>0</v>
      </c>
      <c r="AS10" s="46">
        <v>0</v>
      </c>
      <c r="AT10" s="47">
        <f t="shared" si="13"/>
        <v>0</v>
      </c>
      <c r="AU10" s="46">
        <v>0</v>
      </c>
      <c r="AV10" s="47">
        <f t="shared" si="14"/>
        <v>0</v>
      </c>
      <c r="AW10" s="46">
        <v>0</v>
      </c>
      <c r="AX10" s="47">
        <f t="shared" si="15"/>
        <v>0</v>
      </c>
      <c r="AY10" s="46">
        <v>0</v>
      </c>
      <c r="AZ10" s="47">
        <f t="shared" si="16"/>
        <v>0</v>
      </c>
      <c r="BA10" s="46">
        <v>0</v>
      </c>
      <c r="BB10" s="47">
        <f t="shared" si="17"/>
        <v>0</v>
      </c>
      <c r="BC10" s="46">
        <v>0</v>
      </c>
      <c r="BD10" s="47">
        <f t="shared" si="18"/>
        <v>0</v>
      </c>
      <c r="BE10" s="46">
        <v>0</v>
      </c>
      <c r="BF10" s="47">
        <f t="shared" si="19"/>
        <v>0</v>
      </c>
      <c r="BG10" s="46">
        <v>0</v>
      </c>
      <c r="BH10" s="47">
        <f t="shared" si="20"/>
        <v>0</v>
      </c>
      <c r="BI10" s="46">
        <v>0</v>
      </c>
      <c r="BJ10" s="47">
        <f t="shared" si="21"/>
        <v>0</v>
      </c>
      <c r="BK10" s="36" t="s">
        <v>42</v>
      </c>
      <c r="BO10" s="50"/>
    </row>
    <row r="11" spans="1:67">
      <c r="A11" s="37" t="s">
        <v>39</v>
      </c>
      <c r="B11" s="38" t="s">
        <v>58</v>
      </c>
      <c r="C11" s="39">
        <v>26</v>
      </c>
      <c r="D11" s="40" t="s">
        <v>59</v>
      </c>
      <c r="E11" s="41">
        <v>5.0999999999999996</v>
      </c>
      <c r="F11" s="42">
        <v>5.0999999999999996</v>
      </c>
      <c r="G11" s="42">
        <v>5.0999999999999996</v>
      </c>
      <c r="H11" s="42">
        <v>5.0999999999999996</v>
      </c>
      <c r="I11" s="42">
        <v>5.0999999999999996</v>
      </c>
      <c r="J11" s="42">
        <v>5.0999999999999996</v>
      </c>
      <c r="K11" s="42">
        <v>5.0999999999999996</v>
      </c>
      <c r="L11" s="43">
        <v>5.0999999999999996</v>
      </c>
      <c r="M11" s="44">
        <v>5.0999999999999996</v>
      </c>
      <c r="N11" s="44">
        <v>5.0999999999999996</v>
      </c>
      <c r="O11" s="45">
        <v>5.0999999999999996</v>
      </c>
      <c r="P11" s="45">
        <v>5.0999999999999996</v>
      </c>
      <c r="Q11" s="45">
        <v>5.0999999999999996</v>
      </c>
      <c r="R11" s="45">
        <v>5.0999999999999996</v>
      </c>
      <c r="S11" s="46">
        <v>1.0920000000000001</v>
      </c>
      <c r="T11" s="47">
        <f t="shared" si="0"/>
        <v>0.21411764705882355</v>
      </c>
      <c r="U11" s="46">
        <v>2.5</v>
      </c>
      <c r="V11" s="47">
        <f t="shared" si="1"/>
        <v>0.49019607843137258</v>
      </c>
      <c r="W11" s="46">
        <v>2.65</v>
      </c>
      <c r="X11" s="47">
        <f t="shared" si="2"/>
        <v>0.51960784313725494</v>
      </c>
      <c r="Y11" s="46">
        <v>3.0379999999999998</v>
      </c>
      <c r="Z11" s="47">
        <f t="shared" si="3"/>
        <v>0.59568627450980394</v>
      </c>
      <c r="AA11" s="46">
        <v>3.2029999999999998</v>
      </c>
      <c r="AB11" s="47">
        <f t="shared" si="4"/>
        <v>0.62803921568627452</v>
      </c>
      <c r="AC11" s="46">
        <v>3.2320000000000002</v>
      </c>
      <c r="AD11" s="47">
        <f t="shared" si="5"/>
        <v>0.63372549019607849</v>
      </c>
      <c r="AE11" s="46">
        <v>3.254</v>
      </c>
      <c r="AF11" s="47">
        <f t="shared" si="6"/>
        <v>0.63803921568627453</v>
      </c>
      <c r="AG11" s="46">
        <v>3.2972000000000001</v>
      </c>
      <c r="AH11" s="47">
        <f t="shared" si="7"/>
        <v>0.64650980392156865</v>
      </c>
      <c r="AI11" s="46">
        <v>3.4811000000000001</v>
      </c>
      <c r="AJ11" s="47">
        <f t="shared" si="8"/>
        <v>0.68256862745098046</v>
      </c>
      <c r="AK11" s="46">
        <v>3.3839999999999999</v>
      </c>
      <c r="AL11" s="47">
        <f t="shared" si="9"/>
        <v>0.66352941176470592</v>
      </c>
      <c r="AM11" s="46">
        <v>3.0844999999999998</v>
      </c>
      <c r="AN11" s="47">
        <f t="shared" si="10"/>
        <v>0.6048039215686275</v>
      </c>
      <c r="AO11" s="46">
        <v>2.863</v>
      </c>
      <c r="AP11" s="47">
        <f t="shared" si="11"/>
        <v>0.56137254901960787</v>
      </c>
      <c r="AQ11">
        <v>2.6093999999999999</v>
      </c>
      <c r="AR11" s="47">
        <f t="shared" si="12"/>
        <v>0.51164705882352945</v>
      </c>
      <c r="AS11" s="46">
        <v>2.2627000000000002</v>
      </c>
      <c r="AT11" s="47">
        <f t="shared" si="13"/>
        <v>0.44366666666666671</v>
      </c>
      <c r="AU11" s="46">
        <v>1.9291</v>
      </c>
      <c r="AV11" s="47">
        <f t="shared" si="14"/>
        <v>0.37825490196078437</v>
      </c>
      <c r="AW11" s="46">
        <v>1.9029</v>
      </c>
      <c r="AX11" s="47">
        <f t="shared" si="15"/>
        <v>0.37311764705882355</v>
      </c>
      <c r="AY11" s="46">
        <v>1.8892</v>
      </c>
      <c r="AZ11" s="47">
        <f t="shared" si="16"/>
        <v>0.37043137254901964</v>
      </c>
      <c r="BA11" s="46">
        <v>1.8814</v>
      </c>
      <c r="BB11" s="47">
        <f t="shared" si="17"/>
        <v>0.36890196078431375</v>
      </c>
      <c r="BC11" s="46">
        <v>1.8529</v>
      </c>
      <c r="BD11" s="47">
        <f t="shared" si="18"/>
        <v>0.36331372549019608</v>
      </c>
      <c r="BE11" s="46">
        <v>1.83</v>
      </c>
      <c r="BF11" s="47">
        <f t="shared" si="19"/>
        <v>0.35882352941176476</v>
      </c>
      <c r="BG11" s="46">
        <v>2.0209999999999999</v>
      </c>
      <c r="BH11" s="47">
        <f t="shared" si="20"/>
        <v>0.39627450980392159</v>
      </c>
      <c r="BI11" s="46">
        <v>4.3499999999999996</v>
      </c>
      <c r="BJ11" s="47">
        <f t="shared" si="21"/>
        <v>0.8529411764705882</v>
      </c>
      <c r="BK11" s="36" t="s">
        <v>42</v>
      </c>
      <c r="BO11" s="50"/>
    </row>
    <row r="12" spans="1:67">
      <c r="A12" s="51" t="s">
        <v>39</v>
      </c>
      <c r="B12" s="52" t="s">
        <v>60</v>
      </c>
      <c r="C12" s="53">
        <v>62</v>
      </c>
      <c r="D12" s="54" t="s">
        <v>61</v>
      </c>
      <c r="E12" s="55"/>
      <c r="F12" s="56"/>
      <c r="G12" s="56"/>
      <c r="H12" s="56"/>
      <c r="I12" s="56"/>
      <c r="J12" s="56"/>
      <c r="K12" s="56"/>
      <c r="L12" s="57"/>
      <c r="M12" s="58"/>
      <c r="N12" s="58"/>
      <c r="O12" s="59"/>
      <c r="P12" s="59"/>
      <c r="Q12" s="59">
        <v>1.2</v>
      </c>
      <c r="R12" s="59">
        <v>1.2</v>
      </c>
      <c r="S12" s="60">
        <v>0.36299999999999999</v>
      </c>
      <c r="T12" s="47">
        <f t="shared" si="0"/>
        <v>0.30249999999999999</v>
      </c>
      <c r="U12" s="60">
        <v>0.6</v>
      </c>
      <c r="V12" s="47">
        <f t="shared" si="1"/>
        <v>0.5</v>
      </c>
      <c r="W12" s="60">
        <v>0.71</v>
      </c>
      <c r="X12" s="47">
        <f t="shared" si="2"/>
        <v>0.59166666666666667</v>
      </c>
      <c r="Y12" s="60">
        <v>0.77100000000000002</v>
      </c>
      <c r="Z12" s="47">
        <f t="shared" si="3"/>
        <v>0.64250000000000007</v>
      </c>
      <c r="AA12" s="60">
        <v>0.83</v>
      </c>
      <c r="AB12" s="47">
        <f t="shared" si="4"/>
        <v>0.69166666666666665</v>
      </c>
      <c r="AC12" s="60">
        <v>0.84199999999999997</v>
      </c>
      <c r="AD12" s="47">
        <f t="shared" si="5"/>
        <v>0.70166666666666666</v>
      </c>
      <c r="AE12" s="60">
        <v>0.85699999999999998</v>
      </c>
      <c r="AF12" s="47">
        <f t="shared" si="6"/>
        <v>0.71416666666666673</v>
      </c>
      <c r="AG12" s="60">
        <v>0.87326000000000004</v>
      </c>
      <c r="AH12" s="61">
        <f t="shared" si="7"/>
        <v>0.72771666666666668</v>
      </c>
      <c r="AI12" s="60">
        <v>0.97618000000000005</v>
      </c>
      <c r="AJ12" s="61">
        <f t="shared" si="8"/>
        <v>0.81348333333333345</v>
      </c>
      <c r="AK12" s="60">
        <v>0.98399999999999999</v>
      </c>
      <c r="AL12" s="61">
        <f t="shared" si="9"/>
        <v>0.82000000000000006</v>
      </c>
      <c r="AM12" s="60">
        <v>0.92300000000000004</v>
      </c>
      <c r="AN12" s="61">
        <f t="shared" si="10"/>
        <v>0.76916666666666678</v>
      </c>
      <c r="AO12" s="60">
        <v>0.84419999999999995</v>
      </c>
      <c r="AP12" s="61">
        <f t="shared" si="11"/>
        <v>0.70350000000000001</v>
      </c>
      <c r="AQ12" s="46">
        <v>0.78849000000000002</v>
      </c>
      <c r="AR12" s="61">
        <f t="shared" si="12"/>
        <v>0.65707500000000008</v>
      </c>
      <c r="AS12" s="60">
        <v>0.67518999999999996</v>
      </c>
      <c r="AT12" s="61">
        <f t="shared" si="13"/>
        <v>0.56265833333333337</v>
      </c>
      <c r="AU12" s="60">
        <v>0.59301999999999999</v>
      </c>
      <c r="AV12" s="61">
        <f t="shared" si="14"/>
        <v>0.49418333333333336</v>
      </c>
      <c r="AW12" s="60">
        <v>0.59469000000000005</v>
      </c>
      <c r="AX12" s="61">
        <f t="shared" si="15"/>
        <v>0.49557500000000004</v>
      </c>
      <c r="AY12" s="60">
        <v>0.59679000000000004</v>
      </c>
      <c r="AZ12" s="61">
        <f t="shared" si="16"/>
        <v>0.49732500000000007</v>
      </c>
      <c r="BA12" s="60">
        <v>0.60341999999999996</v>
      </c>
      <c r="BB12" s="61">
        <f t="shared" si="17"/>
        <v>0.50285000000000002</v>
      </c>
      <c r="BC12" s="60">
        <v>0.59757000000000005</v>
      </c>
      <c r="BD12" s="61">
        <f t="shared" si="18"/>
        <v>0.49797500000000006</v>
      </c>
      <c r="BE12" s="60">
        <v>0.59599999999999997</v>
      </c>
      <c r="BF12" s="61">
        <f t="shared" si="19"/>
        <v>0.49666666666666665</v>
      </c>
      <c r="BG12" s="60">
        <v>0.65500000000000003</v>
      </c>
      <c r="BH12" s="61">
        <f t="shared" si="20"/>
        <v>0.54583333333333339</v>
      </c>
      <c r="BI12" s="60">
        <v>1.1539999999999999</v>
      </c>
      <c r="BJ12" s="61">
        <f t="shared" si="21"/>
        <v>0.96166666666666667</v>
      </c>
      <c r="BK12" s="36" t="s">
        <v>42</v>
      </c>
      <c r="BO12" s="50"/>
    </row>
    <row r="13" spans="1:67">
      <c r="A13" s="51" t="s">
        <v>39</v>
      </c>
      <c r="B13" s="52" t="s">
        <v>62</v>
      </c>
      <c r="C13" s="53">
        <v>21</v>
      </c>
      <c r="D13" s="54" t="s">
        <v>63</v>
      </c>
      <c r="E13" s="55">
        <v>2.5</v>
      </c>
      <c r="F13" s="56">
        <v>2.5</v>
      </c>
      <c r="G13" s="56">
        <v>2.5</v>
      </c>
      <c r="H13" s="56">
        <v>2.5</v>
      </c>
      <c r="I13" s="56">
        <v>2.5</v>
      </c>
      <c r="J13" s="56">
        <v>2.5</v>
      </c>
      <c r="K13" s="56">
        <v>2.5</v>
      </c>
      <c r="L13" s="57">
        <v>2.5</v>
      </c>
      <c r="M13" s="58">
        <v>2.5</v>
      </c>
      <c r="N13" s="58">
        <v>2.5</v>
      </c>
      <c r="O13" s="59">
        <v>2.5</v>
      </c>
      <c r="P13" s="59">
        <v>2.5</v>
      </c>
      <c r="Q13" s="59">
        <v>2.5</v>
      </c>
      <c r="R13" s="59">
        <v>2.5</v>
      </c>
      <c r="S13" s="60">
        <v>0.20200000000000001</v>
      </c>
      <c r="T13" s="61">
        <f t="shared" si="0"/>
        <v>8.0800000000000011E-2</v>
      </c>
      <c r="U13" s="60">
        <v>0.99</v>
      </c>
      <c r="V13" s="61">
        <f t="shared" si="1"/>
        <v>0.39600000000000002</v>
      </c>
      <c r="W13" s="60">
        <v>1.04</v>
      </c>
      <c r="X13" s="61">
        <f t="shared" si="2"/>
        <v>0.41600000000000004</v>
      </c>
      <c r="Y13" s="60">
        <v>1.3009999999999999</v>
      </c>
      <c r="Z13" s="61">
        <f t="shared" si="3"/>
        <v>0.52039999999999997</v>
      </c>
      <c r="AA13" s="60">
        <v>1.4419999999999999</v>
      </c>
      <c r="AB13" s="61">
        <f t="shared" si="4"/>
        <v>0.57679999999999998</v>
      </c>
      <c r="AC13" s="60">
        <v>1.76</v>
      </c>
      <c r="AD13" s="61">
        <f t="shared" si="5"/>
        <v>0.70399999999999996</v>
      </c>
      <c r="AE13" s="60">
        <v>2.0569999999999999</v>
      </c>
      <c r="AF13" s="61">
        <f t="shared" si="6"/>
        <v>0.82279999999999998</v>
      </c>
      <c r="AG13" s="60">
        <v>2.09</v>
      </c>
      <c r="AH13" s="61">
        <f t="shared" si="7"/>
        <v>0.83599999999999997</v>
      </c>
      <c r="AI13" s="60">
        <v>2.3965999999999998</v>
      </c>
      <c r="AJ13" s="61">
        <f t="shared" si="8"/>
        <v>0.95863999999999994</v>
      </c>
      <c r="AK13" s="60">
        <v>2.3496999999999999</v>
      </c>
      <c r="AL13" s="61">
        <f t="shared" si="9"/>
        <v>0.93987999999999994</v>
      </c>
      <c r="AM13" s="60">
        <v>2.2799</v>
      </c>
      <c r="AN13" s="61">
        <f t="shared" si="10"/>
        <v>0.91195999999999999</v>
      </c>
      <c r="AO13" s="60">
        <v>1.8982000000000001</v>
      </c>
      <c r="AP13" s="61">
        <f t="shared" si="11"/>
        <v>0.75928000000000007</v>
      </c>
      <c r="AQ13" s="60">
        <v>1.6006</v>
      </c>
      <c r="AR13" s="61">
        <f t="shared" si="12"/>
        <v>0.64024000000000003</v>
      </c>
      <c r="AS13" s="60">
        <v>1.1782999999999999</v>
      </c>
      <c r="AT13" s="61">
        <f t="shared" si="13"/>
        <v>0.47131999999999996</v>
      </c>
      <c r="AU13" s="60">
        <v>0.75585999999999998</v>
      </c>
      <c r="AV13" s="61">
        <f t="shared" si="14"/>
        <v>0.302344</v>
      </c>
      <c r="AW13" s="60">
        <v>0.67084999999999995</v>
      </c>
      <c r="AX13" s="61">
        <f t="shared" si="15"/>
        <v>0.26833999999999997</v>
      </c>
      <c r="AY13" s="60">
        <v>0.70796999999999999</v>
      </c>
      <c r="AZ13" s="61">
        <f t="shared" si="16"/>
        <v>0.283188</v>
      </c>
      <c r="BA13" s="60">
        <v>0.69279999999999997</v>
      </c>
      <c r="BB13" s="61">
        <f t="shared" si="17"/>
        <v>0.27711999999999998</v>
      </c>
      <c r="BC13" s="60">
        <v>0.71882999999999997</v>
      </c>
      <c r="BD13" s="61">
        <f t="shared" si="18"/>
        <v>0.28753200000000001</v>
      </c>
      <c r="BE13" s="60">
        <v>0.72099999999999997</v>
      </c>
      <c r="BF13" s="61">
        <f t="shared" si="19"/>
        <v>0.28839999999999999</v>
      </c>
      <c r="BG13" s="60">
        <v>0.753</v>
      </c>
      <c r="BH13" s="61">
        <f t="shared" si="20"/>
        <v>0.30120000000000002</v>
      </c>
      <c r="BI13" s="60">
        <v>2.234</v>
      </c>
      <c r="BJ13" s="61">
        <f t="shared" si="21"/>
        <v>0.89359999999999995</v>
      </c>
      <c r="BK13" s="36" t="s">
        <v>42</v>
      </c>
      <c r="BO13" s="50"/>
    </row>
    <row r="14" spans="1:67" s="73" customFormat="1" ht="13.5" customHeight="1">
      <c r="A14" s="452" t="s">
        <v>64</v>
      </c>
      <c r="B14" s="452"/>
      <c r="C14" s="62"/>
      <c r="D14" s="63"/>
      <c r="E14" s="64">
        <f t="shared" ref="E14:O14" si="22">SUM(E2:E13)</f>
        <v>68.856000000000009</v>
      </c>
      <c r="F14" s="65">
        <f t="shared" si="22"/>
        <v>68.856000000000009</v>
      </c>
      <c r="G14" s="65">
        <f t="shared" si="22"/>
        <v>68.795000000000002</v>
      </c>
      <c r="H14" s="65">
        <f t="shared" si="22"/>
        <v>68.795000000000002</v>
      </c>
      <c r="I14" s="65">
        <f t="shared" si="22"/>
        <v>68.795000000000002</v>
      </c>
      <c r="J14" s="65">
        <f t="shared" si="22"/>
        <v>68.795000000000002</v>
      </c>
      <c r="K14" s="65">
        <f t="shared" si="22"/>
        <v>68.795000000000002</v>
      </c>
      <c r="L14" s="66">
        <f t="shared" si="22"/>
        <v>68.795000000000002</v>
      </c>
      <c r="M14" s="67">
        <f t="shared" si="22"/>
        <v>68.795000000000002</v>
      </c>
      <c r="N14" s="67">
        <f t="shared" si="22"/>
        <v>68.795000000000002</v>
      </c>
      <c r="O14" s="68">
        <f t="shared" si="22"/>
        <v>68.795000000000002</v>
      </c>
      <c r="P14" s="68">
        <v>68.795000000000002</v>
      </c>
      <c r="Q14" s="68">
        <f>SUM(Q2:Q13)</f>
        <v>69.995000000000005</v>
      </c>
      <c r="R14" s="68">
        <f>SUM(R2:R13)</f>
        <v>69.995000000000005</v>
      </c>
      <c r="S14" s="69">
        <f>SUM(S2:S13)</f>
        <v>21.016999999999999</v>
      </c>
      <c r="T14" s="70">
        <f t="shared" si="0"/>
        <v>0.30026430459318521</v>
      </c>
      <c r="U14" s="69">
        <f>SUM(U2:U13)</f>
        <v>38.130000000000003</v>
      </c>
      <c r="V14" s="70">
        <f t="shared" si="1"/>
        <v>0.54475319665690403</v>
      </c>
      <c r="W14" s="69">
        <f>SUM(W2:W13)</f>
        <v>39.759999999999991</v>
      </c>
      <c r="X14" s="70">
        <f t="shared" si="2"/>
        <v>0.56804057432673749</v>
      </c>
      <c r="Y14" s="69">
        <f>SUM(Y2:Y13)</f>
        <v>42.983999999999995</v>
      </c>
      <c r="Z14" s="70">
        <f t="shared" si="3"/>
        <v>0.61410100721480099</v>
      </c>
      <c r="AA14" s="69">
        <f>SUM(AA2:AA13)</f>
        <v>47.52</v>
      </c>
      <c r="AB14" s="70">
        <f t="shared" si="4"/>
        <v>0.6789056361168655</v>
      </c>
      <c r="AC14" s="69">
        <f>SUM(AC2:AC13)</f>
        <v>54.442999999999998</v>
      </c>
      <c r="AD14" s="70">
        <f t="shared" si="5"/>
        <v>0.77781270090720755</v>
      </c>
      <c r="AE14" s="69">
        <f>SUM(AE2:AE13)</f>
        <v>56.161000000000001</v>
      </c>
      <c r="AF14" s="70">
        <f t="shared" si="6"/>
        <v>0.80235731123651688</v>
      </c>
      <c r="AG14" s="69">
        <f>SUM(AG2:AG13)</f>
        <v>58.331660000000014</v>
      </c>
      <c r="AH14" s="70">
        <f t="shared" si="7"/>
        <v>0.8333689549253519</v>
      </c>
      <c r="AI14" s="69">
        <f>SUM(AI2:AI13)</f>
        <v>59.894472999999998</v>
      </c>
      <c r="AJ14" s="70">
        <f t="shared" si="8"/>
        <v>0.85569644974641035</v>
      </c>
      <c r="AK14" s="69">
        <f>SUM(AK2:AK13)</f>
        <v>59.5625</v>
      </c>
      <c r="AL14" s="70">
        <f t="shared" si="9"/>
        <v>0.85095363954568182</v>
      </c>
      <c r="AM14" s="69">
        <f>SUM(AM2:AM13)</f>
        <v>56.694099999999999</v>
      </c>
      <c r="AN14" s="70">
        <f t="shared" si="10"/>
        <v>0.80997356954068145</v>
      </c>
      <c r="AO14" s="69">
        <f>SUM(AO2:AO13)</f>
        <v>52.97270000000001</v>
      </c>
      <c r="AP14" s="70">
        <f t="shared" si="11"/>
        <v>0.75680691477962725</v>
      </c>
      <c r="AQ14" s="69">
        <f>SUM(AQ2:AQ13)</f>
        <v>48.324490000000011</v>
      </c>
      <c r="AR14" s="70">
        <f t="shared" si="12"/>
        <v>0.69039917136938367</v>
      </c>
      <c r="AS14" s="69">
        <f>SUM(AS2:AS13)</f>
        <v>40.426300000000005</v>
      </c>
      <c r="AT14" s="70">
        <f t="shared" si="13"/>
        <v>0.57755982570183584</v>
      </c>
      <c r="AU14" s="69">
        <f>SUM(AU2:AU13)</f>
        <v>34.087450000000004</v>
      </c>
      <c r="AV14" s="70">
        <f t="shared" si="14"/>
        <v>0.48699835702550187</v>
      </c>
      <c r="AW14" s="69">
        <f>SUM(AW2:AW13)</f>
        <v>32.662619999999997</v>
      </c>
      <c r="AX14" s="70">
        <f t="shared" si="15"/>
        <v>0.46664218872776619</v>
      </c>
      <c r="AY14" s="69">
        <f>SUM(AY2:AY13)</f>
        <v>32.157879999999999</v>
      </c>
      <c r="AZ14" s="70">
        <f t="shared" si="16"/>
        <v>0.45943110222158723</v>
      </c>
      <c r="BA14" s="69">
        <f>SUM(BA2:BA13)</f>
        <v>31.537719999999993</v>
      </c>
      <c r="BB14" s="70">
        <f t="shared" si="17"/>
        <v>0.45057104078862764</v>
      </c>
      <c r="BC14" s="69">
        <f>SUM(BC2:BC13)</f>
        <v>30.617640000000002</v>
      </c>
      <c r="BD14" s="70">
        <f t="shared" si="18"/>
        <v>0.43742610186441888</v>
      </c>
      <c r="BE14" s="69">
        <f>SUM(BE2:BE13)</f>
        <v>30.088000000000001</v>
      </c>
      <c r="BF14" s="70">
        <f t="shared" si="19"/>
        <v>0.42985927566254734</v>
      </c>
      <c r="BG14" s="69">
        <f>SUM(BG2:BG13)</f>
        <v>31.246000000000002</v>
      </c>
      <c r="BH14" s="70">
        <f t="shared" si="20"/>
        <v>0.4464033145224659</v>
      </c>
      <c r="BI14" s="69">
        <f>SUM(BI2:BI13)</f>
        <v>46.889000000000003</v>
      </c>
      <c r="BJ14" s="70">
        <f t="shared" si="21"/>
        <v>0.66989070647903426</v>
      </c>
      <c r="BK14" s="71"/>
      <c r="BL14" s="72"/>
      <c r="BO14" s="50"/>
    </row>
    <row r="15" spans="1:67" ht="6.75" customHeight="1">
      <c r="A15" s="74"/>
      <c r="B15" s="74"/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8"/>
      <c r="N15" s="78"/>
      <c r="O15" s="79"/>
      <c r="P15" s="79"/>
      <c r="Q15" s="79"/>
      <c r="R15" s="79"/>
      <c r="S15" s="80"/>
      <c r="T15" s="81"/>
      <c r="U15" s="80"/>
      <c r="V15" s="81"/>
      <c r="W15" s="80"/>
      <c r="X15" s="81"/>
      <c r="Y15" s="80"/>
      <c r="Z15" s="81"/>
      <c r="AA15" s="80"/>
      <c r="AB15" s="81"/>
      <c r="AC15" s="80"/>
      <c r="AD15" s="81"/>
      <c r="AE15" s="80"/>
      <c r="AF15" s="81"/>
      <c r="AG15" s="80"/>
      <c r="AH15" s="81"/>
      <c r="AI15" s="80"/>
      <c r="AJ15" s="81"/>
      <c r="AK15" s="80"/>
      <c r="AL15" s="81"/>
      <c r="AM15" s="80"/>
      <c r="AN15" s="81"/>
      <c r="AO15" s="80"/>
      <c r="AP15" s="81"/>
      <c r="AQ15" s="80"/>
      <c r="AR15" s="81"/>
      <c r="AS15" s="80"/>
      <c r="AT15" s="81"/>
      <c r="AU15" s="80"/>
      <c r="AV15" s="81"/>
      <c r="AW15" s="80"/>
      <c r="AX15" s="81"/>
      <c r="AY15" s="80"/>
      <c r="AZ15" s="81"/>
      <c r="BA15" s="80"/>
      <c r="BB15" s="81"/>
      <c r="BC15" s="80"/>
      <c r="BD15" s="81"/>
      <c r="BE15" s="80"/>
      <c r="BF15" s="81"/>
      <c r="BG15" s="80"/>
      <c r="BH15" s="81"/>
      <c r="BI15" s="80"/>
      <c r="BJ15" s="81"/>
      <c r="BK15" s="82"/>
      <c r="BO15" s="50"/>
    </row>
    <row r="16" spans="1:67" s="73" customFormat="1">
      <c r="A16" s="83" t="s">
        <v>65</v>
      </c>
      <c r="B16" s="84" t="s">
        <v>66</v>
      </c>
      <c r="C16" s="85">
        <v>1</v>
      </c>
      <c r="D16" s="86" t="s">
        <v>65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1">
        <f>1.41+1.99</f>
        <v>3.4</v>
      </c>
      <c r="T16" s="92">
        <f>S16/$R16</f>
        <v>0.16037735849056603</v>
      </c>
      <c r="U16" s="91">
        <f>2.97+4.65</f>
        <v>7.620000000000001</v>
      </c>
      <c r="V16" s="92">
        <f>U16/$R16</f>
        <v>0.35943396226415103</v>
      </c>
      <c r="W16" s="91">
        <v>8.57</v>
      </c>
      <c r="X16" s="92">
        <f>W16/$R16</f>
        <v>0.40424528301886797</v>
      </c>
      <c r="Y16" s="91">
        <f>9.12+6.17</f>
        <v>15.29</v>
      </c>
      <c r="Z16" s="70">
        <f>Y16/$R16</f>
        <v>0.7212264150943396</v>
      </c>
      <c r="AA16" s="91">
        <v>19.059999999999999</v>
      </c>
      <c r="AB16" s="92">
        <f>AA16/$R16</f>
        <v>0.89905660377358487</v>
      </c>
      <c r="AC16" s="91">
        <v>19.98</v>
      </c>
      <c r="AD16" s="92">
        <f>AC16/$R16</f>
        <v>0.94245283018867931</v>
      </c>
      <c r="AE16" s="91">
        <v>19.95</v>
      </c>
      <c r="AF16" s="92">
        <f>AE16/$R16</f>
        <v>0.94103773584905659</v>
      </c>
      <c r="AG16" s="91">
        <f>7.96+11.92</f>
        <v>19.88</v>
      </c>
      <c r="AH16" s="92">
        <f>AG16/$R16</f>
        <v>0.93773584905660379</v>
      </c>
      <c r="AI16" s="91">
        <f>7.89 + 11.67</f>
        <v>19.559999999999999</v>
      </c>
      <c r="AJ16" s="92">
        <f>AI16/$R16</f>
        <v>0.92264150943396228</v>
      </c>
      <c r="AK16" s="91">
        <f>7.48+11.04</f>
        <v>18.52</v>
      </c>
      <c r="AL16" s="92">
        <f>AK16/$R16</f>
        <v>0.87358490566037739</v>
      </c>
      <c r="AM16" s="91">
        <f>6.93+10.01</f>
        <v>16.939999999999998</v>
      </c>
      <c r="AN16" s="92">
        <f>AM16/$R16</f>
        <v>0.79905660377358478</v>
      </c>
      <c r="AO16" s="91">
        <f>6.11+8.37</f>
        <v>14.48</v>
      </c>
      <c r="AP16" s="92">
        <f>AO16/$R16</f>
        <v>0.68301886792452837</v>
      </c>
      <c r="AQ16" s="91">
        <v>12.68</v>
      </c>
      <c r="AR16" s="92">
        <f>AQ16/$R16</f>
        <v>0.59811320754716979</v>
      </c>
      <c r="AS16" s="91">
        <f>4.67+5.63</f>
        <v>10.3</v>
      </c>
      <c r="AT16" s="92">
        <f>AS16/$R16</f>
        <v>0.48584905660377364</v>
      </c>
      <c r="AU16" s="91">
        <f>3.3+3.67</f>
        <v>6.97</v>
      </c>
      <c r="AV16" s="92">
        <f>AU16/$R16</f>
        <v>0.32877358490566039</v>
      </c>
      <c r="AW16" s="91">
        <f>2.5+2.52</f>
        <v>5.0199999999999996</v>
      </c>
      <c r="AX16" s="92">
        <f>AW16/$R16</f>
        <v>0.23679245283018865</v>
      </c>
      <c r="AY16" s="91">
        <f>1.78+1.81</f>
        <v>3.59</v>
      </c>
      <c r="AZ16" s="92">
        <f>AY16/$R16</f>
        <v>0.16933962264150942</v>
      </c>
      <c r="BA16" s="91">
        <f>1.35+1.39</f>
        <v>2.74</v>
      </c>
      <c r="BB16" s="92">
        <f>BA16/$R16</f>
        <v>0.12924528301886795</v>
      </c>
      <c r="BC16" s="91">
        <f>0.91+1.25</f>
        <v>2.16</v>
      </c>
      <c r="BD16" s="92">
        <f>BC16/$R16</f>
        <v>0.10188679245283019</v>
      </c>
      <c r="BE16" s="91">
        <f>0.52+1.25</f>
        <v>1.77</v>
      </c>
      <c r="BF16" s="92">
        <f>BE16/$R16</f>
        <v>8.3490566037735858E-2</v>
      </c>
      <c r="BG16" s="91">
        <f>0.78+1.71</f>
        <v>2.4900000000000002</v>
      </c>
      <c r="BH16" s="92">
        <f>BG16/$R16</f>
        <v>0.11745283018867926</v>
      </c>
      <c r="BI16" s="91">
        <f>6.38+8.26</f>
        <v>14.64</v>
      </c>
      <c r="BJ16" s="92">
        <f>BI16/$R16</f>
        <v>0.69056603773584913</v>
      </c>
      <c r="BK16" s="36" t="s">
        <v>67</v>
      </c>
      <c r="BL16" s="12"/>
      <c r="BO16" s="50"/>
    </row>
    <row r="17" spans="1:67" ht="6.75" customHeight="1">
      <c r="A17" s="93"/>
      <c r="B17" s="93"/>
      <c r="C17" s="94"/>
      <c r="D17" s="95"/>
      <c r="E17" s="96"/>
      <c r="F17" s="96"/>
      <c r="G17" s="96"/>
      <c r="H17" s="96"/>
      <c r="I17" s="96"/>
      <c r="J17" s="96"/>
      <c r="K17" s="96"/>
      <c r="L17" s="96"/>
      <c r="M17" s="78"/>
      <c r="N17" s="78"/>
      <c r="O17" s="79"/>
      <c r="P17" s="79"/>
      <c r="Q17" s="79"/>
      <c r="R17" s="79"/>
      <c r="S17" s="80"/>
      <c r="T17" s="81"/>
      <c r="U17" s="80"/>
      <c r="V17" s="81"/>
      <c r="W17" s="80"/>
      <c r="X17" s="81"/>
      <c r="Y17" s="80"/>
      <c r="Z17" s="81"/>
      <c r="AA17" s="80"/>
      <c r="AB17" s="81"/>
      <c r="AC17" s="80"/>
      <c r="AD17" s="81"/>
      <c r="AE17" s="80"/>
      <c r="AF17" s="81"/>
      <c r="AG17" s="80"/>
      <c r="AH17" s="81"/>
      <c r="AI17" s="80"/>
      <c r="AJ17" s="81"/>
      <c r="AK17" s="80"/>
      <c r="AL17" s="81"/>
      <c r="AM17" s="80"/>
      <c r="AN17" s="81"/>
      <c r="AO17" s="80"/>
      <c r="AP17" s="81"/>
      <c r="AQ17" s="80"/>
      <c r="AR17" s="81"/>
      <c r="AS17" s="80"/>
      <c r="AT17" s="81"/>
      <c r="AU17" s="80"/>
      <c r="AV17" s="81"/>
      <c r="AW17" s="80"/>
      <c r="AX17" s="81"/>
      <c r="AY17" s="80"/>
      <c r="AZ17" s="81"/>
      <c r="BA17" s="80"/>
      <c r="BB17" s="81"/>
      <c r="BC17" s="80"/>
      <c r="BD17" s="81"/>
      <c r="BE17" s="80"/>
      <c r="BF17" s="81"/>
      <c r="BG17" s="80"/>
      <c r="BH17" s="81"/>
      <c r="BI17" s="80"/>
      <c r="BJ17" s="81"/>
      <c r="BK17" s="82"/>
      <c r="BO17" s="50"/>
    </row>
    <row r="18" spans="1:67" s="73" customFormat="1">
      <c r="A18" s="97" t="s">
        <v>68</v>
      </c>
      <c r="B18" s="38" t="s">
        <v>69</v>
      </c>
      <c r="C18" s="39">
        <v>2</v>
      </c>
      <c r="D18" s="98" t="s">
        <v>70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9">
        <v>5</v>
      </c>
      <c r="N18" s="99">
        <v>4.9524999999999997</v>
      </c>
      <c r="O18" s="100">
        <v>4.9524999999999997</v>
      </c>
      <c r="P18" s="100">
        <v>4.9524999999999997</v>
      </c>
      <c r="Q18" s="100">
        <v>4.9524999999999997</v>
      </c>
      <c r="R18" s="100">
        <v>4.9524999999999997</v>
      </c>
      <c r="S18" s="91">
        <v>3.11</v>
      </c>
      <c r="T18" s="92">
        <f>S18/$R18</f>
        <v>0.6279656739020697</v>
      </c>
      <c r="U18" s="91">
        <v>3.15</v>
      </c>
      <c r="V18" s="92">
        <f>U18/$R18</f>
        <v>0.6360424028268552</v>
      </c>
      <c r="W18" s="91">
        <v>3.34</v>
      </c>
      <c r="X18" s="92">
        <f>W18/$R18</f>
        <v>0.67440686521958604</v>
      </c>
      <c r="Y18" s="91">
        <v>4.3936000000000002</v>
      </c>
      <c r="Z18" s="92">
        <f>Y18/$R18</f>
        <v>0.88714790509843522</v>
      </c>
      <c r="AA18" s="91">
        <v>4.9420000000000002</v>
      </c>
      <c r="AB18" s="92">
        <f>AA18/$R18</f>
        <v>0.99787985865724393</v>
      </c>
      <c r="AC18" s="91">
        <v>4.9455359999999997</v>
      </c>
      <c r="AD18" s="92">
        <f>AC18/$R18</f>
        <v>0.99859384149419483</v>
      </c>
      <c r="AE18" s="91">
        <v>4.9589999999999996</v>
      </c>
      <c r="AF18" s="92">
        <f>AE18/$R18</f>
        <v>1.0013124684502777</v>
      </c>
      <c r="AG18" s="91">
        <v>4.9519359999999999</v>
      </c>
      <c r="AH18" s="92">
        <f>AG18/$R18</f>
        <v>0.99988611812216055</v>
      </c>
      <c r="AI18" s="91">
        <v>4.9510560000000003</v>
      </c>
      <c r="AJ18" s="92">
        <f>AI18/$R18</f>
        <v>0.99970843008581534</v>
      </c>
      <c r="AK18" s="91">
        <v>4.940016</v>
      </c>
      <c r="AL18" s="92">
        <f>AK18/$R18</f>
        <v>0.99747925290257455</v>
      </c>
      <c r="AM18" s="91">
        <v>4.7711680000000003</v>
      </c>
      <c r="AN18" s="92">
        <f>AM18/$R18</f>
        <v>0.96338576476527016</v>
      </c>
      <c r="AO18" s="91">
        <v>4.011476</v>
      </c>
      <c r="AP18" s="92">
        <f>AO18/$R18</f>
        <v>0.80999010600706722</v>
      </c>
      <c r="AQ18" s="91">
        <v>3.5542880000000001</v>
      </c>
      <c r="AR18" s="92">
        <f>AQ18/$R18</f>
        <v>0.71767551741544677</v>
      </c>
      <c r="AS18" s="91">
        <v>2.809072</v>
      </c>
      <c r="AT18" s="92">
        <f>AS18/$R18</f>
        <v>0.56720282685512369</v>
      </c>
      <c r="AU18" s="91">
        <v>1.9739439999999999</v>
      </c>
      <c r="AV18" s="92">
        <f>AU18/$R18</f>
        <v>0.39857526501766788</v>
      </c>
      <c r="AW18" s="91">
        <v>1.6306480000000001</v>
      </c>
      <c r="AX18" s="92">
        <f>AW18/$R18</f>
        <v>0.32925754669358914</v>
      </c>
      <c r="AY18" s="91">
        <v>1.474432</v>
      </c>
      <c r="AZ18" s="92">
        <f>AY18/$R18</f>
        <v>0.29771468955073199</v>
      </c>
      <c r="BA18" s="91">
        <v>1.448504</v>
      </c>
      <c r="BB18" s="92">
        <f>BA18/$R18</f>
        <v>0.29247935386168605</v>
      </c>
      <c r="BC18" s="91">
        <v>1.359008</v>
      </c>
      <c r="BD18" s="92">
        <f>BC18/$R18</f>
        <v>0.27440848056537104</v>
      </c>
      <c r="BE18" s="91">
        <v>1.1000000000000001</v>
      </c>
      <c r="BF18" s="92">
        <f>BE18/$R18</f>
        <v>0.22211004543160023</v>
      </c>
      <c r="BG18" s="91">
        <v>1.3979999999999999</v>
      </c>
      <c r="BH18" s="92">
        <f>BG18/$R18</f>
        <v>0.28228167592125192</v>
      </c>
      <c r="BI18" s="91">
        <v>3.6457760000000001</v>
      </c>
      <c r="BJ18" s="92">
        <f>BI18/$R18</f>
        <v>0.73614861181221614</v>
      </c>
      <c r="BK18" s="101" t="s">
        <v>71</v>
      </c>
      <c r="BL18" s="72"/>
      <c r="BO18" s="50"/>
    </row>
    <row r="19" spans="1:67" ht="7.5" customHeight="1">
      <c r="A19" s="102"/>
      <c r="B19" s="102"/>
      <c r="C19" s="103"/>
      <c r="D19" s="104"/>
      <c r="E19" s="96"/>
      <c r="F19" s="96"/>
      <c r="G19" s="96"/>
      <c r="H19" s="96"/>
      <c r="I19" s="96"/>
      <c r="J19" s="96"/>
      <c r="K19" s="96"/>
      <c r="L19" s="105"/>
      <c r="M19" s="106"/>
      <c r="N19" s="106"/>
      <c r="O19" s="107"/>
      <c r="P19" s="107"/>
      <c r="Q19" s="107"/>
      <c r="R19" s="107"/>
      <c r="S19" s="80"/>
      <c r="T19" s="81"/>
      <c r="U19" s="80"/>
      <c r="V19" s="81"/>
      <c r="W19" s="80"/>
      <c r="X19" s="81"/>
      <c r="Y19" s="80"/>
      <c r="Z19" s="81"/>
      <c r="AA19" s="80"/>
      <c r="AB19" s="81"/>
      <c r="AC19" s="80"/>
      <c r="AD19" s="81"/>
      <c r="AE19" s="80"/>
      <c r="AF19" s="81"/>
      <c r="AG19" s="80"/>
      <c r="AH19" s="81"/>
      <c r="AI19" s="80"/>
      <c r="AJ19" s="81"/>
      <c r="AK19" s="80"/>
      <c r="AL19" s="81"/>
      <c r="AM19" s="80"/>
      <c r="AN19" s="81"/>
      <c r="AO19" s="80"/>
      <c r="AP19" s="81"/>
      <c r="AQ19" s="80"/>
      <c r="AR19" s="81"/>
      <c r="AS19" s="80"/>
      <c r="AT19" s="81"/>
      <c r="AU19" s="80"/>
      <c r="AV19" s="81"/>
      <c r="AW19" s="80"/>
      <c r="AX19" s="81"/>
      <c r="AY19" s="80"/>
      <c r="AZ19" s="81"/>
      <c r="BA19" s="80"/>
      <c r="BB19" s="81"/>
      <c r="BC19" s="80"/>
      <c r="BD19" s="81"/>
      <c r="BE19" s="80"/>
      <c r="BF19" s="81"/>
      <c r="BG19" s="80"/>
      <c r="BH19" s="81"/>
      <c r="BI19" s="80"/>
      <c r="BJ19" s="81"/>
      <c r="BK19" s="82"/>
      <c r="BO19" s="50"/>
    </row>
    <row r="20" spans="1:67">
      <c r="A20" s="38" t="s">
        <v>72</v>
      </c>
      <c r="B20" s="38" t="s">
        <v>73</v>
      </c>
      <c r="C20" s="39">
        <v>9</v>
      </c>
      <c r="D20" s="98" t="s">
        <v>74</v>
      </c>
      <c r="E20" s="42">
        <v>2</v>
      </c>
      <c r="F20" s="42">
        <v>2</v>
      </c>
      <c r="G20" s="42">
        <v>2</v>
      </c>
      <c r="H20" s="42">
        <v>2</v>
      </c>
      <c r="I20" s="42">
        <v>2</v>
      </c>
      <c r="J20" s="42">
        <v>2</v>
      </c>
      <c r="K20" s="108">
        <v>2</v>
      </c>
      <c r="L20" s="109">
        <v>2</v>
      </c>
      <c r="M20" s="110">
        <v>2</v>
      </c>
      <c r="N20" s="110">
        <v>2</v>
      </c>
      <c r="O20" s="111">
        <v>2</v>
      </c>
      <c r="P20" s="111">
        <v>2</v>
      </c>
      <c r="Q20" s="111">
        <v>2</v>
      </c>
      <c r="R20" s="111">
        <v>2</v>
      </c>
      <c r="S20" s="112">
        <v>0.74399999999999999</v>
      </c>
      <c r="T20" s="113">
        <f t="shared" ref="T20:T30" si="23">S20/$R20</f>
        <v>0.372</v>
      </c>
      <c r="U20" s="112">
        <v>0.88</v>
      </c>
      <c r="V20" s="113">
        <f t="shared" ref="V20:V30" si="24">U20/$R20</f>
        <v>0.44</v>
      </c>
      <c r="W20" s="112">
        <v>0.91</v>
      </c>
      <c r="X20" s="113">
        <f t="shared" ref="X20:X30" si="25">W20/$R20</f>
        <v>0.45500000000000002</v>
      </c>
      <c r="Y20" s="112">
        <v>0.93500000000000005</v>
      </c>
      <c r="Z20" s="113">
        <f t="shared" ref="Z20:Z30" si="26">Y20/$R20</f>
        <v>0.46750000000000003</v>
      </c>
      <c r="AA20" s="112">
        <v>1.036</v>
      </c>
      <c r="AB20" s="113">
        <f t="shared" ref="AB20:AB30" si="27">AA20/$R20</f>
        <v>0.51800000000000002</v>
      </c>
      <c r="AC20" s="112">
        <v>1.0669999999999999</v>
      </c>
      <c r="AD20" s="113">
        <f t="shared" ref="AD20:AD30" si="28">AC20/$R20</f>
        <v>0.53349999999999997</v>
      </c>
      <c r="AE20" s="112">
        <v>1.0669999999999999</v>
      </c>
      <c r="AF20" s="113">
        <f t="shared" ref="AF20:AF30" si="29">AE20/$R20</f>
        <v>0.53349999999999997</v>
      </c>
      <c r="AG20" s="112">
        <v>1.0940000000000001</v>
      </c>
      <c r="AH20" s="113">
        <f t="shared" ref="AH20:AH30" si="30">AG20/$R20</f>
        <v>0.54700000000000004</v>
      </c>
      <c r="AI20" s="112">
        <v>1.081</v>
      </c>
      <c r="AJ20" s="113">
        <f t="shared" ref="AJ20:AJ30" si="31">AI20/$R20</f>
        <v>0.54049999999999998</v>
      </c>
      <c r="AK20" s="112">
        <v>1.07</v>
      </c>
      <c r="AL20" s="113">
        <f t="shared" ref="AL20:AL30" si="32">AK20/$R20</f>
        <v>0.53500000000000003</v>
      </c>
      <c r="AM20" s="112">
        <v>1.0169999999999999</v>
      </c>
      <c r="AN20" s="113">
        <f t="shared" ref="AN20:AN30" si="33">AM20/$R20</f>
        <v>0.50849999999999995</v>
      </c>
      <c r="AO20" s="112">
        <v>0.91100000000000003</v>
      </c>
      <c r="AP20" s="113">
        <f t="shared" ref="AP20:AP30" si="34">AO20/$R20</f>
        <v>0.45550000000000002</v>
      </c>
      <c r="AQ20" s="112">
        <v>0.80659199999999998</v>
      </c>
      <c r="AR20" s="113">
        <f t="shared" ref="AR20:AR30" si="35">AQ20/$R20</f>
        <v>0.40329599999999999</v>
      </c>
      <c r="AS20" s="114">
        <v>0.72199999999999998</v>
      </c>
      <c r="AT20" s="113">
        <f t="shared" ref="AT20:AT30" si="36">AS20/$R20</f>
        <v>0.36099999999999999</v>
      </c>
      <c r="AU20" s="112">
        <v>0.61</v>
      </c>
      <c r="AV20" s="113">
        <f t="shared" ref="AV20:AV30" si="37">AU20/$R20</f>
        <v>0.30499999999999999</v>
      </c>
      <c r="AW20" s="112">
        <v>0.5</v>
      </c>
      <c r="AX20" s="113">
        <f t="shared" ref="AX20:AX30" si="38">AW20/$R20</f>
        <v>0.25</v>
      </c>
      <c r="AY20" s="112">
        <v>0.45800000000000002</v>
      </c>
      <c r="AZ20" s="113">
        <f t="shared" ref="AZ20:AZ30" si="39">AY20/$R20</f>
        <v>0.22900000000000001</v>
      </c>
      <c r="BA20" s="112">
        <v>0.436</v>
      </c>
      <c r="BB20" s="113">
        <f t="shared" ref="BB20:BB30" si="40">BA20/$R20</f>
        <v>0.218</v>
      </c>
      <c r="BC20" s="112">
        <v>0.41899999999999998</v>
      </c>
      <c r="BD20" s="113">
        <f t="shared" ref="BD20:BD30" si="41">BC20/$R20</f>
        <v>0.20949999999999999</v>
      </c>
      <c r="BE20" s="112">
        <v>0.40100000000000002</v>
      </c>
      <c r="BF20" s="113">
        <f t="shared" ref="BF20:BF30" si="42">BE20/$R20</f>
        <v>0.20050000000000001</v>
      </c>
      <c r="BG20" s="112">
        <v>0.38400000000000001</v>
      </c>
      <c r="BH20" s="113">
        <f t="shared" ref="BH20:BH30" si="43">BG20/$R20</f>
        <v>0.192</v>
      </c>
      <c r="BI20" s="112">
        <v>0.39600000000000002</v>
      </c>
      <c r="BJ20" s="113">
        <f t="shared" ref="BJ20:BJ30" si="44">BI20/$R20</f>
        <v>0.19800000000000001</v>
      </c>
      <c r="BK20" s="36" t="s">
        <v>75</v>
      </c>
      <c r="BO20" s="50"/>
    </row>
    <row r="21" spans="1:67">
      <c r="A21" s="38" t="s">
        <v>72</v>
      </c>
      <c r="B21" s="38" t="s">
        <v>76</v>
      </c>
      <c r="C21" s="39">
        <v>23</v>
      </c>
      <c r="D21" s="98" t="s">
        <v>77</v>
      </c>
      <c r="E21" s="42">
        <v>3</v>
      </c>
      <c r="F21" s="42">
        <v>3</v>
      </c>
      <c r="G21" s="42">
        <v>3</v>
      </c>
      <c r="H21" s="42">
        <v>3</v>
      </c>
      <c r="I21" s="42">
        <v>3</v>
      </c>
      <c r="J21" s="42">
        <v>3</v>
      </c>
      <c r="K21" s="108">
        <v>3</v>
      </c>
      <c r="L21" s="109">
        <v>3</v>
      </c>
      <c r="M21" s="115">
        <v>3.45</v>
      </c>
      <c r="N21" s="115">
        <v>3.41</v>
      </c>
      <c r="O21" s="116">
        <v>3.41</v>
      </c>
      <c r="P21" s="116">
        <v>3.41</v>
      </c>
      <c r="Q21" s="116">
        <v>3.41</v>
      </c>
      <c r="R21" s="116">
        <v>3.41</v>
      </c>
      <c r="S21" s="46">
        <v>1.389</v>
      </c>
      <c r="T21" s="47">
        <f t="shared" si="23"/>
        <v>0.40733137829912019</v>
      </c>
      <c r="U21" s="46">
        <v>1.97</v>
      </c>
      <c r="V21" s="47">
        <f t="shared" si="24"/>
        <v>0.57771260997067442</v>
      </c>
      <c r="W21" s="46">
        <v>2.06</v>
      </c>
      <c r="X21" s="47">
        <f t="shared" si="25"/>
        <v>0.60410557184750735</v>
      </c>
      <c r="Y21" s="46">
        <v>3.0030000000000001</v>
      </c>
      <c r="Z21" s="47">
        <f t="shared" si="26"/>
        <v>0.88064516129032255</v>
      </c>
      <c r="AA21" s="46">
        <v>3.1560000000000001</v>
      </c>
      <c r="AB21" s="47">
        <f t="shared" si="27"/>
        <v>0.92551319648093844</v>
      </c>
      <c r="AC21" s="46">
        <v>3.2810000000000001</v>
      </c>
      <c r="AD21" s="47">
        <f t="shared" si="28"/>
        <v>0.96217008797653958</v>
      </c>
      <c r="AE21" s="46">
        <v>3.3090000000000002</v>
      </c>
      <c r="AF21" s="47">
        <f t="shared" si="29"/>
        <v>0.97038123167155421</v>
      </c>
      <c r="AG21" s="46">
        <v>3.2919999999999998</v>
      </c>
      <c r="AH21" s="47">
        <f t="shared" si="30"/>
        <v>0.96539589442815243</v>
      </c>
      <c r="AI21" s="46">
        <v>3.2865000000000002</v>
      </c>
      <c r="AJ21" s="47">
        <f t="shared" si="31"/>
        <v>0.96378299120234601</v>
      </c>
      <c r="AK21" s="46">
        <v>3.2353999999999998</v>
      </c>
      <c r="AL21" s="47">
        <f t="shared" si="32"/>
        <v>0.94879765395894422</v>
      </c>
      <c r="AM21" s="46">
        <v>3.0947</v>
      </c>
      <c r="AN21" s="47">
        <f t="shared" si="33"/>
        <v>0.90753665689149554</v>
      </c>
      <c r="AO21" s="46">
        <v>2.7987000000000002</v>
      </c>
      <c r="AP21" s="47">
        <f t="shared" si="34"/>
        <v>0.82073313782991208</v>
      </c>
      <c r="AQ21" s="46">
        <v>2.5196000000000001</v>
      </c>
      <c r="AR21" s="47">
        <f t="shared" si="35"/>
        <v>0.73888563049853373</v>
      </c>
      <c r="AS21" s="46">
        <v>2.2764000000000002</v>
      </c>
      <c r="AT21" s="47">
        <f t="shared" si="36"/>
        <v>0.66756598240469212</v>
      </c>
      <c r="AU21" s="46">
        <v>2.0769000000000002</v>
      </c>
      <c r="AV21" s="47">
        <f t="shared" si="37"/>
        <v>0.60906158357771267</v>
      </c>
      <c r="AW21" s="46">
        <v>1.9673</v>
      </c>
      <c r="AX21" s="47">
        <f t="shared" si="38"/>
        <v>0.57692082111436949</v>
      </c>
      <c r="AY21" s="46">
        <v>1.859</v>
      </c>
      <c r="AZ21" s="47">
        <f t="shared" si="39"/>
        <v>0.54516129032258065</v>
      </c>
      <c r="BA21" s="46">
        <v>1.8339000000000001</v>
      </c>
      <c r="BB21" s="47">
        <f t="shared" si="40"/>
        <v>0.53780058651026397</v>
      </c>
      <c r="BC21" s="46">
        <v>1.7698</v>
      </c>
      <c r="BD21" s="47">
        <f t="shared" si="41"/>
        <v>0.51900293255131968</v>
      </c>
      <c r="BE21" s="46">
        <v>1.7390000000000001</v>
      </c>
      <c r="BF21" s="47">
        <f t="shared" si="42"/>
        <v>0.50997067448680355</v>
      </c>
      <c r="BG21" s="46">
        <v>1.8029999999999999</v>
      </c>
      <c r="BH21" s="47">
        <f t="shared" si="43"/>
        <v>0.52873900293255127</v>
      </c>
      <c r="BI21" s="46">
        <v>3.41</v>
      </c>
      <c r="BJ21" s="47">
        <f t="shared" si="44"/>
        <v>1</v>
      </c>
      <c r="BK21" s="36" t="s">
        <v>42</v>
      </c>
      <c r="BO21" s="50"/>
    </row>
    <row r="22" spans="1:67">
      <c r="A22" s="38" t="s">
        <v>72</v>
      </c>
      <c r="B22" s="38" t="s">
        <v>78</v>
      </c>
      <c r="C22" s="39">
        <v>13</v>
      </c>
      <c r="D22" s="98" t="s">
        <v>79</v>
      </c>
      <c r="E22" s="42">
        <v>2.1</v>
      </c>
      <c r="F22" s="42">
        <v>2.1</v>
      </c>
      <c r="G22" s="42">
        <v>2.1</v>
      </c>
      <c r="H22" s="42">
        <v>2.1</v>
      </c>
      <c r="I22" s="42">
        <v>2.1</v>
      </c>
      <c r="J22" s="42">
        <v>2.1</v>
      </c>
      <c r="K22" s="108">
        <v>2.1</v>
      </c>
      <c r="L22" s="109">
        <v>2.1</v>
      </c>
      <c r="M22" s="115">
        <v>2.1</v>
      </c>
      <c r="N22" s="115">
        <v>2.1</v>
      </c>
      <c r="O22" s="116">
        <v>2.1</v>
      </c>
      <c r="P22" s="116">
        <v>2.1</v>
      </c>
      <c r="Q22" s="116">
        <v>2.1</v>
      </c>
      <c r="R22" s="116">
        <v>2.1</v>
      </c>
      <c r="S22" s="46">
        <v>0.5</v>
      </c>
      <c r="T22" s="47">
        <f t="shared" si="23"/>
        <v>0.23809523809523808</v>
      </c>
      <c r="U22" s="46">
        <v>0.72899999999999998</v>
      </c>
      <c r="V22" s="47">
        <f t="shared" si="24"/>
        <v>0.34714285714285714</v>
      </c>
      <c r="W22" s="46">
        <v>0.73</v>
      </c>
      <c r="X22" s="47">
        <f t="shared" si="25"/>
        <v>0.34761904761904761</v>
      </c>
      <c r="Y22" s="46">
        <v>0.70609999999999995</v>
      </c>
      <c r="Z22" s="47">
        <f t="shared" si="26"/>
        <v>0.33623809523809522</v>
      </c>
      <c r="AA22" s="46">
        <v>0.70820000000000005</v>
      </c>
      <c r="AB22" s="47">
        <f t="shared" si="27"/>
        <v>0.33723809523809523</v>
      </c>
      <c r="AC22" s="46">
        <v>0.89</v>
      </c>
      <c r="AD22" s="47">
        <f t="shared" si="28"/>
        <v>0.4238095238095238</v>
      </c>
      <c r="AE22" s="46">
        <v>0.89800000000000002</v>
      </c>
      <c r="AF22" s="47">
        <f t="shared" si="29"/>
        <v>0.42761904761904762</v>
      </c>
      <c r="AG22" s="46">
        <v>0.99095999999999995</v>
      </c>
      <c r="AH22" s="47">
        <f t="shared" si="30"/>
        <v>0.47188571428571424</v>
      </c>
      <c r="AI22" s="46">
        <v>0.98562000000000005</v>
      </c>
      <c r="AJ22" s="47">
        <f t="shared" si="31"/>
        <v>0.46934285714285717</v>
      </c>
      <c r="AK22" s="46">
        <v>0.96150000000000002</v>
      </c>
      <c r="AL22" s="47">
        <f t="shared" si="32"/>
        <v>0.45785714285714285</v>
      </c>
      <c r="AM22" s="46">
        <v>0.94277999999999995</v>
      </c>
      <c r="AN22" s="47">
        <f t="shared" si="33"/>
        <v>0.44894285714285709</v>
      </c>
      <c r="AO22" s="46">
        <v>0.91215999999999997</v>
      </c>
      <c r="AP22" s="47">
        <f t="shared" si="34"/>
        <v>0.43436190476190473</v>
      </c>
      <c r="AQ22" s="46">
        <v>0.86</v>
      </c>
      <c r="AR22" s="47">
        <f t="shared" si="35"/>
        <v>0.40952380952380951</v>
      </c>
      <c r="AS22" s="46">
        <v>0.84079999999999999</v>
      </c>
      <c r="AT22" s="47">
        <f t="shared" si="36"/>
        <v>0.40038095238095234</v>
      </c>
      <c r="AU22" s="46">
        <v>0.80976000000000004</v>
      </c>
      <c r="AV22" s="47">
        <f t="shared" si="37"/>
        <v>0.3856</v>
      </c>
      <c r="AW22" s="46">
        <v>0.79854000000000003</v>
      </c>
      <c r="AX22" s="47">
        <f t="shared" si="38"/>
        <v>0.38025714285714285</v>
      </c>
      <c r="AY22" s="46">
        <v>0.80752000000000002</v>
      </c>
      <c r="AZ22" s="47">
        <f t="shared" si="39"/>
        <v>0.38453333333333334</v>
      </c>
      <c r="BA22" s="46">
        <v>0.80528012999999998</v>
      </c>
      <c r="BB22" s="47">
        <f t="shared" si="40"/>
        <v>0.38346672857142855</v>
      </c>
      <c r="BC22" s="46">
        <v>0.79854000000000003</v>
      </c>
      <c r="BD22" s="47">
        <f t="shared" si="41"/>
        <v>0.38025714285714285</v>
      </c>
      <c r="BE22" s="46">
        <v>0.80500000000000005</v>
      </c>
      <c r="BF22" s="47">
        <f t="shared" si="42"/>
        <v>0.38333333333333336</v>
      </c>
      <c r="BG22" s="46">
        <v>0.76700000000000002</v>
      </c>
      <c r="BH22" s="47">
        <f t="shared" si="43"/>
        <v>0.36523809523809525</v>
      </c>
      <c r="BI22" s="46">
        <v>0.77800000000000002</v>
      </c>
      <c r="BJ22" s="47">
        <f t="shared" si="44"/>
        <v>0.37047619047619046</v>
      </c>
      <c r="BK22" s="117" t="s">
        <v>80</v>
      </c>
    </row>
    <row r="23" spans="1:67">
      <c r="A23" s="38" t="s">
        <v>72</v>
      </c>
      <c r="B23" s="38" t="s">
        <v>81</v>
      </c>
      <c r="C23" s="39">
        <v>14</v>
      </c>
      <c r="D23" s="98" t="s">
        <v>82</v>
      </c>
      <c r="E23" s="42">
        <v>4.93</v>
      </c>
      <c r="F23" s="42">
        <v>4.93</v>
      </c>
      <c r="G23" s="42">
        <v>4.93</v>
      </c>
      <c r="H23" s="42">
        <v>4.93</v>
      </c>
      <c r="I23" s="42">
        <v>4.93</v>
      </c>
      <c r="J23" s="42">
        <v>4.93</v>
      </c>
      <c r="K23" s="108">
        <v>4.93</v>
      </c>
      <c r="L23" s="109">
        <v>4.93</v>
      </c>
      <c r="M23" s="115">
        <v>4.93</v>
      </c>
      <c r="N23" s="115">
        <v>4.93</v>
      </c>
      <c r="O23" s="116">
        <v>4.93</v>
      </c>
      <c r="P23" s="116">
        <v>4.93</v>
      </c>
      <c r="Q23" s="116">
        <v>4.93</v>
      </c>
      <c r="R23" s="116">
        <v>4.93</v>
      </c>
      <c r="S23" s="46">
        <v>0.68400000000000005</v>
      </c>
      <c r="T23" s="47">
        <f t="shared" si="23"/>
        <v>0.13874239350912781</v>
      </c>
      <c r="U23" s="46">
        <v>0.86</v>
      </c>
      <c r="V23" s="47">
        <f t="shared" si="24"/>
        <v>0.17444219066937119</v>
      </c>
      <c r="W23" s="46">
        <v>1.07</v>
      </c>
      <c r="X23" s="47">
        <f t="shared" si="25"/>
        <v>0.21703853955375257</v>
      </c>
      <c r="Y23" s="46">
        <v>1.67</v>
      </c>
      <c r="Z23" s="47">
        <f t="shared" si="26"/>
        <v>0.33874239350912777</v>
      </c>
      <c r="AA23" s="114">
        <v>2.66</v>
      </c>
      <c r="AB23" s="47">
        <f t="shared" si="27"/>
        <v>0.53955375253549698</v>
      </c>
      <c r="AC23" s="46">
        <v>3.68</v>
      </c>
      <c r="AD23" s="47">
        <f t="shared" si="28"/>
        <v>0.74645030425963499</v>
      </c>
      <c r="AE23" s="46">
        <v>4</v>
      </c>
      <c r="AF23" s="47">
        <f t="shared" si="29"/>
        <v>0.81135902636916846</v>
      </c>
      <c r="AG23" s="46">
        <v>4.47</v>
      </c>
      <c r="AH23" s="47">
        <f t="shared" si="30"/>
        <v>0.90669371196754567</v>
      </c>
      <c r="AI23" s="46">
        <v>4.76</v>
      </c>
      <c r="AJ23" s="47">
        <f t="shared" si="31"/>
        <v>0.96551724137931039</v>
      </c>
      <c r="AK23" s="46">
        <v>4.93</v>
      </c>
      <c r="AL23" s="47">
        <f t="shared" si="32"/>
        <v>1</v>
      </c>
      <c r="AM23" s="46">
        <v>4.93</v>
      </c>
      <c r="AN23" s="47">
        <f t="shared" si="33"/>
        <v>1</v>
      </c>
      <c r="AO23" s="46">
        <v>4.9000000000000004</v>
      </c>
      <c r="AP23" s="47">
        <f t="shared" si="34"/>
        <v>0.99391480730223136</v>
      </c>
      <c r="AQ23" s="46">
        <v>4.87</v>
      </c>
      <c r="AR23" s="47">
        <f t="shared" si="35"/>
        <v>0.9878296146044625</v>
      </c>
      <c r="AS23" s="46">
        <v>4.83</v>
      </c>
      <c r="AT23" s="47">
        <f t="shared" si="36"/>
        <v>0.97971602434077087</v>
      </c>
      <c r="AU23" s="46">
        <v>4.3600000000000003</v>
      </c>
      <c r="AV23" s="47">
        <f t="shared" si="37"/>
        <v>0.88438133874239366</v>
      </c>
      <c r="AW23" s="46">
        <v>4.33</v>
      </c>
      <c r="AX23" s="47">
        <f t="shared" si="38"/>
        <v>0.8782961460446248</v>
      </c>
      <c r="AY23" s="46">
        <v>4.32</v>
      </c>
      <c r="AZ23" s="47">
        <f t="shared" si="39"/>
        <v>0.87626774847870192</v>
      </c>
      <c r="BA23" s="46">
        <v>4.0999999999999996</v>
      </c>
      <c r="BB23" s="47">
        <f t="shared" si="40"/>
        <v>0.83164300202839758</v>
      </c>
      <c r="BC23" s="46">
        <v>3.53</v>
      </c>
      <c r="BD23" s="47">
        <f t="shared" si="41"/>
        <v>0.71602434077079102</v>
      </c>
      <c r="BE23" s="46">
        <v>2.79</v>
      </c>
      <c r="BF23" s="47">
        <f t="shared" si="42"/>
        <v>0.56592292089249496</v>
      </c>
      <c r="BG23" s="46">
        <v>2.68</v>
      </c>
      <c r="BH23" s="47">
        <f t="shared" si="43"/>
        <v>0.54361054766734285</v>
      </c>
      <c r="BI23" s="46">
        <v>2.72</v>
      </c>
      <c r="BJ23" s="47">
        <f t="shared" si="44"/>
        <v>0.55172413793103459</v>
      </c>
      <c r="BK23" s="36" t="s">
        <v>83</v>
      </c>
    </row>
    <row r="24" spans="1:67">
      <c r="A24" s="38" t="s">
        <v>72</v>
      </c>
      <c r="B24" s="38" t="s">
        <v>84</v>
      </c>
      <c r="C24" s="39">
        <v>42</v>
      </c>
      <c r="D24" s="98" t="s">
        <v>85</v>
      </c>
      <c r="E24" s="42">
        <v>33.76</v>
      </c>
      <c r="F24" s="42">
        <v>47.3</v>
      </c>
      <c r="G24" s="42">
        <v>44.6</v>
      </c>
      <c r="H24" s="42">
        <v>44.6</v>
      </c>
      <c r="I24" s="42">
        <v>44.6</v>
      </c>
      <c r="J24" s="42">
        <v>44.6</v>
      </c>
      <c r="K24" s="108">
        <v>44.6</v>
      </c>
      <c r="L24" s="109">
        <v>44.6</v>
      </c>
      <c r="M24" s="115">
        <v>44.6</v>
      </c>
      <c r="N24" s="115">
        <v>44.6</v>
      </c>
      <c r="O24" s="116">
        <v>44.6</v>
      </c>
      <c r="P24" s="116">
        <v>44.6</v>
      </c>
      <c r="Q24" s="116">
        <v>44.6</v>
      </c>
      <c r="R24" s="116">
        <v>44.6</v>
      </c>
      <c r="S24" s="46">
        <v>18.404</v>
      </c>
      <c r="T24" s="47">
        <f t="shared" si="23"/>
        <v>0.41264573991031389</v>
      </c>
      <c r="U24" s="46">
        <v>19.13</v>
      </c>
      <c r="V24" s="47">
        <f t="shared" si="24"/>
        <v>0.42892376681614347</v>
      </c>
      <c r="W24" s="46">
        <v>19.13</v>
      </c>
      <c r="X24" s="47">
        <f t="shared" si="25"/>
        <v>0.42892376681614347</v>
      </c>
      <c r="Y24" s="46">
        <v>19.3</v>
      </c>
      <c r="Z24" s="47">
        <f t="shared" si="26"/>
        <v>0.43273542600896864</v>
      </c>
      <c r="AA24" s="46">
        <v>19.074999999999999</v>
      </c>
      <c r="AB24" s="47">
        <f t="shared" si="27"/>
        <v>0.42769058295964124</v>
      </c>
      <c r="AC24" s="46">
        <v>20.2</v>
      </c>
      <c r="AD24" s="47">
        <f t="shared" si="28"/>
        <v>0.452914798206278</v>
      </c>
      <c r="AE24" s="46">
        <v>21.140999999999998</v>
      </c>
      <c r="AF24" s="47">
        <f t="shared" si="29"/>
        <v>0.47401345291479813</v>
      </c>
      <c r="AG24" s="46">
        <v>21.785679999999999</v>
      </c>
      <c r="AH24" s="47">
        <f t="shared" si="30"/>
        <v>0.48846816143497757</v>
      </c>
      <c r="AI24" s="46">
        <v>22.280999999999999</v>
      </c>
      <c r="AJ24" s="47">
        <f t="shared" si="31"/>
        <v>0.49957399103139011</v>
      </c>
      <c r="AK24" s="46">
        <v>22.231000000000002</v>
      </c>
      <c r="AL24" s="47">
        <f t="shared" si="32"/>
        <v>0.4984529147982063</v>
      </c>
      <c r="AM24" s="46">
        <v>21.785</v>
      </c>
      <c r="AN24" s="47">
        <f t="shared" si="33"/>
        <v>0.48845291479820624</v>
      </c>
      <c r="AO24" s="46">
        <v>20.486999999999998</v>
      </c>
      <c r="AP24" s="47">
        <f t="shared" si="34"/>
        <v>0.45934977578475333</v>
      </c>
      <c r="AQ24" s="46">
        <v>19.66</v>
      </c>
      <c r="AR24" s="47">
        <f t="shared" si="35"/>
        <v>0.44080717488789234</v>
      </c>
      <c r="AS24" s="46">
        <v>17.565999999999999</v>
      </c>
      <c r="AT24" s="47">
        <f t="shared" si="36"/>
        <v>0.39385650224215241</v>
      </c>
      <c r="AU24" s="46">
        <v>15.754</v>
      </c>
      <c r="AV24" s="47">
        <f t="shared" si="37"/>
        <v>0.35322869955156949</v>
      </c>
      <c r="AW24" s="46">
        <v>14.628</v>
      </c>
      <c r="AX24" s="47">
        <f t="shared" si="38"/>
        <v>0.32798206278026903</v>
      </c>
      <c r="AY24" s="46">
        <v>14.067</v>
      </c>
      <c r="AZ24" s="47">
        <f t="shared" si="39"/>
        <v>0.3154035874439462</v>
      </c>
      <c r="BA24" s="46">
        <v>13.048</v>
      </c>
      <c r="BB24" s="47">
        <f t="shared" si="40"/>
        <v>0.29255605381165917</v>
      </c>
      <c r="BC24" s="46">
        <v>12.891999999999999</v>
      </c>
      <c r="BD24" s="47">
        <f t="shared" si="41"/>
        <v>0.28905829596412552</v>
      </c>
      <c r="BE24" s="46">
        <v>13.305999999999999</v>
      </c>
      <c r="BF24" s="47">
        <f t="shared" si="42"/>
        <v>0.29834080717488787</v>
      </c>
      <c r="BG24" s="46">
        <v>13.73</v>
      </c>
      <c r="BH24" s="47">
        <f t="shared" si="43"/>
        <v>0.30784753363228701</v>
      </c>
      <c r="BI24" s="46">
        <v>16.585999999999999</v>
      </c>
      <c r="BJ24" s="47">
        <f t="shared" si="44"/>
        <v>0.37188340807174886</v>
      </c>
      <c r="BK24" s="101" t="s">
        <v>86</v>
      </c>
      <c r="BL24" s="118"/>
    </row>
    <row r="25" spans="1:67">
      <c r="A25" s="38" t="s">
        <v>72</v>
      </c>
      <c r="B25" s="38" t="s">
        <v>87</v>
      </c>
      <c r="C25" s="39">
        <v>30</v>
      </c>
      <c r="D25" s="98" t="s">
        <v>79</v>
      </c>
      <c r="E25" s="42">
        <v>4</v>
      </c>
      <c r="F25" s="42">
        <v>4</v>
      </c>
      <c r="G25" s="42">
        <v>4</v>
      </c>
      <c r="H25" s="42">
        <v>4</v>
      </c>
      <c r="I25" s="42">
        <v>4</v>
      </c>
      <c r="J25" s="42">
        <v>4</v>
      </c>
      <c r="K25" s="108">
        <v>4</v>
      </c>
      <c r="L25" s="109">
        <v>4</v>
      </c>
      <c r="M25" s="115">
        <v>4.0999999999999996</v>
      </c>
      <c r="N25" s="115">
        <v>4.0999999999999996</v>
      </c>
      <c r="O25" s="116">
        <v>4.0999999999999996</v>
      </c>
      <c r="P25" s="116">
        <v>4.0999999999999996</v>
      </c>
      <c r="Q25" s="116">
        <v>4.0999999999999996</v>
      </c>
      <c r="R25" s="116">
        <v>4.0999999999999996</v>
      </c>
      <c r="S25" s="46">
        <v>1.129</v>
      </c>
      <c r="T25" s="47">
        <f t="shared" si="23"/>
        <v>0.27536585365853661</v>
      </c>
      <c r="U25" s="46">
        <v>1.58</v>
      </c>
      <c r="V25" s="47">
        <f t="shared" si="24"/>
        <v>0.38536585365853665</v>
      </c>
      <c r="W25" s="46">
        <v>1.44</v>
      </c>
      <c r="X25" s="47">
        <f t="shared" si="25"/>
        <v>0.35121951219512199</v>
      </c>
      <c r="Y25" s="46">
        <v>1.2779799999999999</v>
      </c>
      <c r="Z25" s="47">
        <f t="shared" si="26"/>
        <v>0.31170243902439027</v>
      </c>
      <c r="AA25" s="46">
        <v>1.4024000000000001</v>
      </c>
      <c r="AB25" s="47">
        <f t="shared" si="27"/>
        <v>0.3420487804878049</v>
      </c>
      <c r="AC25" s="46">
        <v>1.66</v>
      </c>
      <c r="AD25" s="47">
        <f t="shared" si="28"/>
        <v>0.40487804878048783</v>
      </c>
      <c r="AE25" s="46">
        <v>1.657</v>
      </c>
      <c r="AF25" s="47">
        <f t="shared" si="29"/>
        <v>0.40414634146341466</v>
      </c>
      <c r="AG25" s="46">
        <v>1.6830000000000001</v>
      </c>
      <c r="AH25" s="47">
        <f t="shared" si="30"/>
        <v>0.41048780487804881</v>
      </c>
      <c r="AI25" s="46">
        <v>1.6850000000000001</v>
      </c>
      <c r="AJ25" s="47">
        <f t="shared" si="31"/>
        <v>0.41097560975609759</v>
      </c>
      <c r="AK25" s="46">
        <v>1.6936100000000001</v>
      </c>
      <c r="AL25" s="47">
        <f t="shared" si="32"/>
        <v>0.41307560975609758</v>
      </c>
      <c r="AM25" s="46">
        <v>1.633</v>
      </c>
      <c r="AN25" s="47">
        <f t="shared" si="33"/>
        <v>0.39829268292682929</v>
      </c>
      <c r="AO25" s="46">
        <v>1.5931249999999999</v>
      </c>
      <c r="AP25" s="47">
        <f t="shared" si="34"/>
        <v>0.38856707317073169</v>
      </c>
      <c r="AQ25" s="46">
        <v>1.5348250000000001</v>
      </c>
      <c r="AR25" s="47">
        <f t="shared" si="35"/>
        <v>0.37434756097560984</v>
      </c>
      <c r="AS25" s="46">
        <v>1.36392</v>
      </c>
      <c r="AT25" s="47">
        <f t="shared" si="36"/>
        <v>0.33266341463414639</v>
      </c>
      <c r="AU25" s="46">
        <v>1.33578</v>
      </c>
      <c r="AV25" s="47">
        <f t="shared" si="37"/>
        <v>0.32580000000000003</v>
      </c>
      <c r="AW25" s="46">
        <v>1.32908</v>
      </c>
      <c r="AX25" s="47">
        <f t="shared" si="38"/>
        <v>0.32416585365853662</v>
      </c>
      <c r="AY25" s="46">
        <v>1.3106199999999999</v>
      </c>
      <c r="AZ25" s="47">
        <f t="shared" si="39"/>
        <v>0.31966341463414633</v>
      </c>
      <c r="BA25" s="46">
        <v>1.3004199999999999</v>
      </c>
      <c r="BB25" s="47">
        <f t="shared" si="40"/>
        <v>0.31717560975609754</v>
      </c>
      <c r="BC25" s="46">
        <v>1.28138025</v>
      </c>
      <c r="BD25" s="47">
        <f t="shared" si="41"/>
        <v>0.31253176829268298</v>
      </c>
      <c r="BE25" s="46">
        <v>1.266</v>
      </c>
      <c r="BF25" s="47">
        <f t="shared" si="42"/>
        <v>0.3087804878048781</v>
      </c>
      <c r="BG25" s="46">
        <v>1.2370000000000001</v>
      </c>
      <c r="BH25" s="47">
        <f t="shared" si="43"/>
        <v>0.30170731707317078</v>
      </c>
      <c r="BI25" s="46">
        <v>1.3859999999999999</v>
      </c>
      <c r="BJ25" s="47">
        <f t="shared" si="44"/>
        <v>0.3380487804878049</v>
      </c>
      <c r="BK25" s="117" t="s">
        <v>80</v>
      </c>
    </row>
    <row r="26" spans="1:67">
      <c r="A26" s="38" t="s">
        <v>72</v>
      </c>
      <c r="B26" s="38" t="s">
        <v>88</v>
      </c>
      <c r="C26" s="39">
        <v>11</v>
      </c>
      <c r="D26" s="98" t="s">
        <v>74</v>
      </c>
      <c r="E26" s="42">
        <v>1.87</v>
      </c>
      <c r="F26" s="42">
        <v>1.87</v>
      </c>
      <c r="G26" s="42">
        <v>1.87</v>
      </c>
      <c r="H26" s="42">
        <v>1.87</v>
      </c>
      <c r="I26" s="42">
        <v>1.87</v>
      </c>
      <c r="J26" s="42">
        <v>1.87</v>
      </c>
      <c r="K26" s="108">
        <v>1.87</v>
      </c>
      <c r="L26" s="109">
        <v>1.87</v>
      </c>
      <c r="M26" s="115">
        <v>1.87</v>
      </c>
      <c r="N26" s="115">
        <v>1.87</v>
      </c>
      <c r="O26" s="116">
        <v>1.87</v>
      </c>
      <c r="P26" s="116">
        <v>1.87</v>
      </c>
      <c r="Q26" s="116">
        <v>1.87</v>
      </c>
      <c r="R26" s="116">
        <v>1.87</v>
      </c>
      <c r="S26" s="46">
        <v>0.64400000000000002</v>
      </c>
      <c r="T26" s="47">
        <f t="shared" si="23"/>
        <v>0.34438502673796789</v>
      </c>
      <c r="U26" s="46">
        <v>0.78</v>
      </c>
      <c r="V26" s="47">
        <f t="shared" si="24"/>
        <v>0.41711229946524064</v>
      </c>
      <c r="W26" s="46">
        <v>0.85</v>
      </c>
      <c r="X26" s="47">
        <f t="shared" si="25"/>
        <v>0.45454545454545453</v>
      </c>
      <c r="Y26" s="46">
        <v>0.98</v>
      </c>
      <c r="Z26" s="47">
        <f t="shared" si="26"/>
        <v>0.52406417112299464</v>
      </c>
      <c r="AA26" s="46">
        <v>0.997</v>
      </c>
      <c r="AB26" s="47">
        <f t="shared" si="27"/>
        <v>0.53315508021390368</v>
      </c>
      <c r="AC26" s="46">
        <v>1.0329999999999999</v>
      </c>
      <c r="AD26" s="47">
        <f t="shared" si="28"/>
        <v>0.55240641711229943</v>
      </c>
      <c r="AE26" s="46">
        <v>1.026</v>
      </c>
      <c r="AF26" s="47">
        <f t="shared" si="29"/>
        <v>0.548663101604278</v>
      </c>
      <c r="AG26" s="46">
        <v>1.0389999999999999</v>
      </c>
      <c r="AH26" s="47">
        <f t="shared" si="30"/>
        <v>0.55561497326203202</v>
      </c>
      <c r="AI26" s="46">
        <v>1.0389999999999999</v>
      </c>
      <c r="AJ26" s="47">
        <f t="shared" si="31"/>
        <v>0.55561497326203202</v>
      </c>
      <c r="AK26" s="46">
        <v>1.1634</v>
      </c>
      <c r="AL26" s="47">
        <f t="shared" si="32"/>
        <v>0.62213903743315502</v>
      </c>
      <c r="AM26" s="46">
        <v>1.1639999999999999</v>
      </c>
      <c r="AN26" s="47">
        <f t="shared" si="33"/>
        <v>0.62245989304812832</v>
      </c>
      <c r="AO26" s="46">
        <v>1.111</v>
      </c>
      <c r="AP26" s="47">
        <f t="shared" si="34"/>
        <v>0.59411764705882353</v>
      </c>
      <c r="AQ26" s="46">
        <v>1.0814999999999999</v>
      </c>
      <c r="AR26" s="47">
        <f t="shared" si="35"/>
        <v>0.57834224598930473</v>
      </c>
      <c r="AS26" s="114">
        <v>0.98</v>
      </c>
      <c r="AT26" s="47">
        <f t="shared" si="36"/>
        <v>0.52406417112299464</v>
      </c>
      <c r="AU26" s="46">
        <v>0.92</v>
      </c>
      <c r="AV26" s="47">
        <f t="shared" si="37"/>
        <v>0.49197860962566842</v>
      </c>
      <c r="AW26" s="46">
        <v>0.90200000000000002</v>
      </c>
      <c r="AX26" s="47">
        <f t="shared" si="38"/>
        <v>0.4823529411764706</v>
      </c>
      <c r="AY26" s="46">
        <v>0.878</v>
      </c>
      <c r="AZ26" s="47">
        <f t="shared" si="39"/>
        <v>0.46951871657754007</v>
      </c>
      <c r="BA26" s="46">
        <v>0.8</v>
      </c>
      <c r="BB26" s="47">
        <f t="shared" si="40"/>
        <v>0.42780748663101603</v>
      </c>
      <c r="BC26" s="46">
        <v>0.73799999999999999</v>
      </c>
      <c r="BD26" s="47">
        <f t="shared" si="41"/>
        <v>0.39465240641711224</v>
      </c>
      <c r="BE26" s="46">
        <v>0.67100000000000004</v>
      </c>
      <c r="BF26" s="47">
        <f t="shared" si="42"/>
        <v>0.35882352941176471</v>
      </c>
      <c r="BG26" s="46">
        <v>0.63600000000000001</v>
      </c>
      <c r="BH26" s="47">
        <f t="shared" si="43"/>
        <v>0.34010695187165774</v>
      </c>
      <c r="BI26" s="46">
        <v>0.67100000000000004</v>
      </c>
      <c r="BJ26" s="47">
        <f t="shared" si="44"/>
        <v>0.35882352941176471</v>
      </c>
      <c r="BK26" s="36" t="s">
        <v>75</v>
      </c>
    </row>
    <row r="27" spans="1:67">
      <c r="A27" s="38" t="s">
        <v>72</v>
      </c>
      <c r="B27" s="38" t="s">
        <v>89</v>
      </c>
      <c r="C27" s="39">
        <v>24</v>
      </c>
      <c r="D27" s="98" t="s">
        <v>77</v>
      </c>
      <c r="E27" s="42">
        <v>8</v>
      </c>
      <c r="F27" s="42">
        <v>8</v>
      </c>
      <c r="G27" s="42">
        <v>8</v>
      </c>
      <c r="H27" s="42">
        <v>8</v>
      </c>
      <c r="I27" s="42">
        <v>8</v>
      </c>
      <c r="J27" s="42">
        <v>8</v>
      </c>
      <c r="K27" s="108">
        <v>8</v>
      </c>
      <c r="L27" s="109">
        <v>8</v>
      </c>
      <c r="M27" s="115">
        <v>8</v>
      </c>
      <c r="N27" s="115">
        <v>8</v>
      </c>
      <c r="O27" s="116">
        <v>8</v>
      </c>
      <c r="P27" s="116">
        <v>8</v>
      </c>
      <c r="Q27" s="116">
        <v>8</v>
      </c>
      <c r="R27" s="116">
        <v>8</v>
      </c>
      <c r="S27" s="46">
        <v>2.0659999999999998</v>
      </c>
      <c r="T27" s="47">
        <f t="shared" si="23"/>
        <v>0.25824999999999998</v>
      </c>
      <c r="U27" s="46">
        <v>3.41</v>
      </c>
      <c r="V27" s="47">
        <f t="shared" si="24"/>
        <v>0.42625000000000002</v>
      </c>
      <c r="W27" s="46">
        <v>4.1900000000000004</v>
      </c>
      <c r="X27" s="47">
        <f t="shared" si="25"/>
        <v>0.52375000000000005</v>
      </c>
      <c r="Y27" s="46">
        <v>6.4930000000000003</v>
      </c>
      <c r="Z27" s="47">
        <f t="shared" si="26"/>
        <v>0.81162500000000004</v>
      </c>
      <c r="AA27" s="46">
        <v>7.1070000000000002</v>
      </c>
      <c r="AB27" s="47">
        <f t="shared" si="27"/>
        <v>0.88837500000000003</v>
      </c>
      <c r="AC27" s="46">
        <v>7.0869999999999997</v>
      </c>
      <c r="AD27" s="47">
        <f t="shared" si="28"/>
        <v>0.88587499999999997</v>
      </c>
      <c r="AE27" s="46">
        <v>7.0170000000000003</v>
      </c>
      <c r="AF27" s="47">
        <f t="shared" si="29"/>
        <v>0.87712500000000004</v>
      </c>
      <c r="AG27" s="46">
        <v>6.9580000000000002</v>
      </c>
      <c r="AH27" s="47">
        <f t="shared" si="30"/>
        <v>0.86975000000000002</v>
      </c>
      <c r="AI27" s="46">
        <v>6.8536000000000001</v>
      </c>
      <c r="AJ27" s="47">
        <f t="shared" si="31"/>
        <v>0.85670000000000002</v>
      </c>
      <c r="AK27" s="46">
        <v>6.3547000000000002</v>
      </c>
      <c r="AL27" s="47">
        <f t="shared" si="32"/>
        <v>0.79433750000000003</v>
      </c>
      <c r="AM27" s="46">
        <v>5.4359999999999999</v>
      </c>
      <c r="AN27" s="47">
        <f t="shared" si="33"/>
        <v>0.67949999999999999</v>
      </c>
      <c r="AO27" s="46">
        <v>4.2683999999999997</v>
      </c>
      <c r="AP27" s="47">
        <f t="shared" si="34"/>
        <v>0.53354999999999997</v>
      </c>
      <c r="AQ27" s="46">
        <v>3.5819000000000001</v>
      </c>
      <c r="AR27" s="47">
        <f t="shared" si="35"/>
        <v>0.44773750000000001</v>
      </c>
      <c r="AS27" s="46">
        <v>3.1732999999999998</v>
      </c>
      <c r="AT27" s="47">
        <f t="shared" si="36"/>
        <v>0.39666249999999997</v>
      </c>
      <c r="AU27" s="46">
        <v>2.7845</v>
      </c>
      <c r="AV27" s="47">
        <f t="shared" si="37"/>
        <v>0.3480625</v>
      </c>
      <c r="AW27" s="46">
        <v>2.5905</v>
      </c>
      <c r="AX27" s="47">
        <f t="shared" si="38"/>
        <v>0.3238125</v>
      </c>
      <c r="AY27" s="46">
        <v>2.4527999999999999</v>
      </c>
      <c r="AZ27" s="47">
        <f t="shared" si="39"/>
        <v>0.30659999999999998</v>
      </c>
      <c r="BA27" s="46">
        <v>2.347</v>
      </c>
      <c r="BB27" s="47">
        <f t="shared" si="40"/>
        <v>0.293375</v>
      </c>
      <c r="BC27" s="46">
        <v>2.1789999999999998</v>
      </c>
      <c r="BD27" s="47">
        <f t="shared" si="41"/>
        <v>0.27237499999999998</v>
      </c>
      <c r="BE27" s="46">
        <v>2.0920000000000001</v>
      </c>
      <c r="BF27" s="47">
        <f t="shared" si="42"/>
        <v>0.26150000000000001</v>
      </c>
      <c r="BG27" s="46">
        <v>2.226</v>
      </c>
      <c r="BH27" s="47">
        <f t="shared" si="43"/>
        <v>0.27825</v>
      </c>
      <c r="BI27" s="46">
        <v>6.4749999999999996</v>
      </c>
      <c r="BJ27" s="47">
        <f t="shared" si="44"/>
        <v>0.80937499999999996</v>
      </c>
      <c r="BK27" s="36" t="s">
        <v>42</v>
      </c>
    </row>
    <row r="28" spans="1:67">
      <c r="A28" s="38" t="s">
        <v>72</v>
      </c>
      <c r="B28" s="38" t="s">
        <v>90</v>
      </c>
      <c r="C28" s="39">
        <v>12</v>
      </c>
      <c r="D28" s="98" t="s">
        <v>91</v>
      </c>
      <c r="E28" s="42">
        <v>4</v>
      </c>
      <c r="F28" s="42">
        <v>4</v>
      </c>
      <c r="G28" s="42">
        <v>4</v>
      </c>
      <c r="H28" s="42">
        <v>4</v>
      </c>
      <c r="I28" s="42">
        <v>4</v>
      </c>
      <c r="J28" s="42">
        <v>4</v>
      </c>
      <c r="K28" s="108">
        <v>4</v>
      </c>
      <c r="L28" s="109">
        <v>4</v>
      </c>
      <c r="M28" s="115">
        <v>4</v>
      </c>
      <c r="N28" s="115">
        <v>4</v>
      </c>
      <c r="O28" s="116">
        <v>4</v>
      </c>
      <c r="P28" s="116">
        <v>4</v>
      </c>
      <c r="Q28" s="116">
        <v>4</v>
      </c>
      <c r="R28" s="116">
        <v>4</v>
      </c>
      <c r="S28" s="46">
        <v>1.03</v>
      </c>
      <c r="T28" s="47">
        <f t="shared" si="23"/>
        <v>0.25750000000000001</v>
      </c>
      <c r="U28" s="46">
        <v>1.1599999999999999</v>
      </c>
      <c r="V28" s="47">
        <f t="shared" si="24"/>
        <v>0.28999999999999998</v>
      </c>
      <c r="W28" s="46">
        <v>1.17</v>
      </c>
      <c r="X28" s="47">
        <f t="shared" si="25"/>
        <v>0.29249999999999998</v>
      </c>
      <c r="Y28" s="46">
        <v>1.24</v>
      </c>
      <c r="Z28" s="47">
        <f t="shared" si="26"/>
        <v>0.31</v>
      </c>
      <c r="AA28" s="46">
        <v>1.5</v>
      </c>
      <c r="AB28" s="47">
        <f t="shared" si="27"/>
        <v>0.375</v>
      </c>
      <c r="AC28" s="46">
        <v>1.95</v>
      </c>
      <c r="AD28" s="47">
        <f t="shared" si="28"/>
        <v>0.48749999999999999</v>
      </c>
      <c r="AE28" s="46">
        <v>1.97</v>
      </c>
      <c r="AF28" s="47">
        <f t="shared" si="29"/>
        <v>0.49249999999999999</v>
      </c>
      <c r="AG28" s="46">
        <v>2.23</v>
      </c>
      <c r="AH28" s="47">
        <f t="shared" si="30"/>
        <v>0.5575</v>
      </c>
      <c r="AI28" s="46">
        <v>2.2850000000000001</v>
      </c>
      <c r="AJ28" s="47">
        <f t="shared" si="31"/>
        <v>0.57125000000000004</v>
      </c>
      <c r="AK28" s="46">
        <v>2.2799999999999998</v>
      </c>
      <c r="AL28" s="47">
        <f t="shared" si="32"/>
        <v>0.56999999999999995</v>
      </c>
      <c r="AM28" s="46">
        <v>2.0299999999999998</v>
      </c>
      <c r="AN28" s="47">
        <f t="shared" si="33"/>
        <v>0.50749999999999995</v>
      </c>
      <c r="AO28" s="46">
        <v>1.95</v>
      </c>
      <c r="AP28" s="47">
        <f t="shared" si="34"/>
        <v>0.48749999999999999</v>
      </c>
      <c r="AQ28" s="46">
        <v>1.85</v>
      </c>
      <c r="AR28" s="47">
        <f t="shared" si="35"/>
        <v>0.46250000000000002</v>
      </c>
      <c r="AS28" s="46">
        <v>1.64</v>
      </c>
      <c r="AT28" s="47">
        <f t="shared" si="36"/>
        <v>0.41</v>
      </c>
      <c r="AU28" s="46">
        <v>1.496</v>
      </c>
      <c r="AV28" s="47">
        <f t="shared" si="37"/>
        <v>0.374</v>
      </c>
      <c r="AW28" s="46">
        <v>1.43</v>
      </c>
      <c r="AX28" s="47">
        <f t="shared" si="38"/>
        <v>0.35749999999999998</v>
      </c>
      <c r="AY28" s="46">
        <v>1.39</v>
      </c>
      <c r="AZ28" s="47">
        <f t="shared" si="39"/>
        <v>0.34749999999999998</v>
      </c>
      <c r="BA28" s="46">
        <v>1.29</v>
      </c>
      <c r="BB28" s="47">
        <f t="shared" si="40"/>
        <v>0.32250000000000001</v>
      </c>
      <c r="BC28" s="46">
        <v>1.25</v>
      </c>
      <c r="BD28" s="47">
        <f t="shared" si="41"/>
        <v>0.3125</v>
      </c>
      <c r="BE28" s="46">
        <v>1.1950000000000001</v>
      </c>
      <c r="BF28" s="47">
        <f t="shared" si="42"/>
        <v>0.29875000000000002</v>
      </c>
      <c r="BG28" s="46">
        <v>1.17</v>
      </c>
      <c r="BH28" s="47">
        <f t="shared" si="43"/>
        <v>0.29249999999999998</v>
      </c>
      <c r="BI28" s="46">
        <v>1.3</v>
      </c>
      <c r="BJ28" s="47">
        <f t="shared" si="44"/>
        <v>0.32500000000000001</v>
      </c>
      <c r="BK28" s="36" t="s">
        <v>92</v>
      </c>
      <c r="BL28" s="119"/>
    </row>
    <row r="29" spans="1:67">
      <c r="A29" s="38" t="s">
        <v>72</v>
      </c>
      <c r="B29" s="38" t="s">
        <v>93</v>
      </c>
      <c r="C29" s="39">
        <v>38</v>
      </c>
      <c r="D29" s="98" t="s">
        <v>94</v>
      </c>
      <c r="E29" s="42">
        <v>60</v>
      </c>
      <c r="F29" s="42">
        <v>60</v>
      </c>
      <c r="G29" s="42">
        <v>60</v>
      </c>
      <c r="H29" s="42">
        <v>60</v>
      </c>
      <c r="I29" s="42">
        <v>60</v>
      </c>
      <c r="J29" s="42">
        <v>60</v>
      </c>
      <c r="K29" s="108">
        <v>60</v>
      </c>
      <c r="L29" s="109">
        <v>60</v>
      </c>
      <c r="M29" s="115">
        <v>60</v>
      </c>
      <c r="N29" s="115">
        <v>60</v>
      </c>
      <c r="O29" s="116">
        <v>60.57</v>
      </c>
      <c r="P29" s="116">
        <v>60.57</v>
      </c>
      <c r="Q29" s="116">
        <v>60.57</v>
      </c>
      <c r="R29" s="116">
        <v>60.57</v>
      </c>
      <c r="S29" s="120">
        <v>10.768000000000001</v>
      </c>
      <c r="T29" s="47">
        <f t="shared" si="23"/>
        <v>0.17777777777777778</v>
      </c>
      <c r="U29" s="120">
        <v>12.8</v>
      </c>
      <c r="V29" s="47">
        <f t="shared" si="24"/>
        <v>0.21132573881459468</v>
      </c>
      <c r="W29" s="120">
        <v>13.74</v>
      </c>
      <c r="X29" s="47">
        <f t="shared" si="25"/>
        <v>0.22684497275879148</v>
      </c>
      <c r="Y29" s="120">
        <v>18.38</v>
      </c>
      <c r="Z29" s="47">
        <f t="shared" si="26"/>
        <v>0.30345055307908203</v>
      </c>
      <c r="AA29" s="114">
        <v>24.9</v>
      </c>
      <c r="AB29" s="47">
        <f t="shared" si="27"/>
        <v>0.4110946012877662</v>
      </c>
      <c r="AC29" s="120">
        <v>37.44</v>
      </c>
      <c r="AD29" s="47">
        <f t="shared" si="28"/>
        <v>0.61812778603268936</v>
      </c>
      <c r="AE29" s="120">
        <v>38.96</v>
      </c>
      <c r="AF29" s="47">
        <f t="shared" si="29"/>
        <v>0.64322271751692262</v>
      </c>
      <c r="AG29" s="120">
        <v>41.56</v>
      </c>
      <c r="AH29" s="47">
        <f t="shared" si="30"/>
        <v>0.68614825821363712</v>
      </c>
      <c r="AI29" s="120">
        <v>41.75</v>
      </c>
      <c r="AJ29" s="47">
        <f t="shared" si="31"/>
        <v>0.68928512464916625</v>
      </c>
      <c r="AK29" s="120">
        <f>36.06+5.47</f>
        <v>41.53</v>
      </c>
      <c r="AL29" s="47">
        <f t="shared" si="32"/>
        <v>0.68565296351329041</v>
      </c>
      <c r="AM29" s="120">
        <v>39.94</v>
      </c>
      <c r="AN29" s="47">
        <f t="shared" si="33"/>
        <v>0.65940234439491496</v>
      </c>
      <c r="AO29" s="120">
        <v>37.49</v>
      </c>
      <c r="AP29" s="47">
        <f t="shared" si="34"/>
        <v>0.61895327719993398</v>
      </c>
      <c r="AQ29" s="120">
        <v>35.799999999999997</v>
      </c>
      <c r="AR29" s="47">
        <f t="shared" si="35"/>
        <v>0.5910516757470694</v>
      </c>
      <c r="AS29" s="120">
        <v>32.15</v>
      </c>
      <c r="AT29" s="47">
        <f t="shared" si="36"/>
        <v>0.53079082053822024</v>
      </c>
      <c r="AU29" s="120">
        <v>29.64</v>
      </c>
      <c r="AV29" s="47">
        <f t="shared" si="37"/>
        <v>0.4893511639425458</v>
      </c>
      <c r="AW29" s="120">
        <v>27.58</v>
      </c>
      <c r="AX29" s="47">
        <f t="shared" si="38"/>
        <v>0.45534092785207197</v>
      </c>
      <c r="AY29" s="120">
        <v>25.72</v>
      </c>
      <c r="AZ29" s="47">
        <f t="shared" si="39"/>
        <v>0.42463265643057618</v>
      </c>
      <c r="BA29" s="120">
        <v>23.52</v>
      </c>
      <c r="BB29" s="47">
        <f t="shared" si="40"/>
        <v>0.38831104507181774</v>
      </c>
      <c r="BC29" s="120">
        <v>21.18</v>
      </c>
      <c r="BD29" s="47">
        <f t="shared" si="41"/>
        <v>0.34967805844477462</v>
      </c>
      <c r="BE29" s="120">
        <v>18.68</v>
      </c>
      <c r="BF29" s="47">
        <f t="shared" si="42"/>
        <v>0.30840350008254913</v>
      </c>
      <c r="BG29" s="120">
        <v>16.059999999999999</v>
      </c>
      <c r="BH29" s="47">
        <f t="shared" si="43"/>
        <v>0.26514776291893677</v>
      </c>
      <c r="BI29" s="120">
        <v>14.45</v>
      </c>
      <c r="BJ29" s="47">
        <f t="shared" si="44"/>
        <v>0.23856694733366351</v>
      </c>
      <c r="BK29" s="101" t="s">
        <v>95</v>
      </c>
    </row>
    <row r="30" spans="1:67">
      <c r="A30" s="38" t="s">
        <v>72</v>
      </c>
      <c r="B30" s="38" t="s">
        <v>96</v>
      </c>
      <c r="C30" s="39">
        <v>34</v>
      </c>
      <c r="D30" s="98" t="s">
        <v>79</v>
      </c>
      <c r="E30" s="42">
        <v>2.11</v>
      </c>
      <c r="F30" s="42">
        <v>2.11</v>
      </c>
      <c r="G30" s="42">
        <v>2.11</v>
      </c>
      <c r="H30" s="42">
        <v>2.11</v>
      </c>
      <c r="I30" s="42">
        <v>2.11</v>
      </c>
      <c r="J30" s="42">
        <v>2.11</v>
      </c>
      <c r="K30" s="108">
        <v>2.11</v>
      </c>
      <c r="L30" s="109">
        <v>2.11</v>
      </c>
      <c r="M30" s="115">
        <v>2.1</v>
      </c>
      <c r="N30" s="115">
        <v>2.1</v>
      </c>
      <c r="O30" s="116">
        <v>2.1</v>
      </c>
      <c r="P30" s="116">
        <v>2.1</v>
      </c>
      <c r="Q30" s="116">
        <v>2.1</v>
      </c>
      <c r="R30" s="116">
        <v>2.1</v>
      </c>
      <c r="S30" s="46">
        <v>0.224</v>
      </c>
      <c r="T30" s="47">
        <f t="shared" si="23"/>
        <v>0.10666666666666666</v>
      </c>
      <c r="U30" s="46">
        <v>0.47799999999999998</v>
      </c>
      <c r="V30" s="47">
        <f t="shared" si="24"/>
        <v>0.22761904761904761</v>
      </c>
      <c r="W30" s="46">
        <v>0.51</v>
      </c>
      <c r="X30" s="47">
        <f t="shared" si="25"/>
        <v>0.24285714285714285</v>
      </c>
      <c r="Y30" s="46">
        <v>0.535439</v>
      </c>
      <c r="Z30" s="47">
        <f t="shared" si="26"/>
        <v>0.25497095238095235</v>
      </c>
      <c r="AA30" s="46">
        <v>0.56947999999999999</v>
      </c>
      <c r="AB30" s="47">
        <f t="shared" si="27"/>
        <v>0.27118095238095236</v>
      </c>
      <c r="AC30" s="46">
        <v>0.74</v>
      </c>
      <c r="AD30" s="47">
        <f t="shared" si="28"/>
        <v>0.35238095238095235</v>
      </c>
      <c r="AE30" s="46">
        <v>0.75350200000000001</v>
      </c>
      <c r="AF30" s="47">
        <f t="shared" si="29"/>
        <v>0.35881047619047618</v>
      </c>
      <c r="AG30" s="46">
        <v>0.76434000000000002</v>
      </c>
      <c r="AH30" s="47">
        <f t="shared" si="30"/>
        <v>0.36397142857142856</v>
      </c>
      <c r="AI30" s="46">
        <v>0.76326000000000005</v>
      </c>
      <c r="AJ30" s="47">
        <f t="shared" si="31"/>
        <v>0.36345714285714287</v>
      </c>
      <c r="AK30" s="46">
        <v>0.75482800000000005</v>
      </c>
      <c r="AL30" s="47">
        <f t="shared" si="32"/>
        <v>0.3594419047619048</v>
      </c>
      <c r="AM30" s="46">
        <v>0.65400000000000003</v>
      </c>
      <c r="AN30" s="47">
        <f t="shared" si="33"/>
        <v>0.31142857142857144</v>
      </c>
      <c r="AO30" s="46">
        <v>0.57481599999999999</v>
      </c>
      <c r="AP30" s="47">
        <f t="shared" si="34"/>
        <v>0.27372190476190472</v>
      </c>
      <c r="AQ30" s="46">
        <v>0.50655899999999998</v>
      </c>
      <c r="AR30" s="47">
        <f t="shared" si="35"/>
        <v>0.24121857142857142</v>
      </c>
      <c r="AS30" s="46">
        <v>0.400256</v>
      </c>
      <c r="AT30" s="47">
        <f t="shared" si="36"/>
        <v>0.19059809523809523</v>
      </c>
      <c r="AU30" s="46">
        <v>0.25285000000000002</v>
      </c>
      <c r="AV30" s="47">
        <f t="shared" si="37"/>
        <v>0.1204047619047619</v>
      </c>
      <c r="AW30" s="46">
        <v>0.22314999999999999</v>
      </c>
      <c r="AX30" s="47">
        <f t="shared" si="38"/>
        <v>0.10626190476190475</v>
      </c>
      <c r="AY30" s="46">
        <v>0.17630699999999999</v>
      </c>
      <c r="AZ30" s="47">
        <f t="shared" si="39"/>
        <v>8.3955714285714272E-2</v>
      </c>
      <c r="BA30" s="46">
        <v>0.16925903</v>
      </c>
      <c r="BB30" s="47">
        <f t="shared" si="40"/>
        <v>8.0599538095238094E-2</v>
      </c>
      <c r="BC30" s="46">
        <v>0.13755200000000001</v>
      </c>
      <c r="BD30" s="47">
        <f t="shared" si="41"/>
        <v>6.5500952380952382E-2</v>
      </c>
      <c r="BE30" s="46">
        <v>0.1176</v>
      </c>
      <c r="BF30" s="47">
        <f t="shared" si="42"/>
        <v>5.5999999999999994E-2</v>
      </c>
      <c r="BG30" s="46">
        <v>0.14083000000000001</v>
      </c>
      <c r="BH30" s="47">
        <f t="shared" si="43"/>
        <v>6.7061904761904767E-2</v>
      </c>
      <c r="BI30" s="46">
        <v>0.185</v>
      </c>
      <c r="BJ30" s="47">
        <f t="shared" si="44"/>
        <v>8.8095238095238088E-2</v>
      </c>
      <c r="BK30" s="121" t="s">
        <v>80</v>
      </c>
    </row>
    <row r="31" spans="1:67" s="73" customFormat="1" ht="13.5" customHeight="1">
      <c r="A31" s="453" t="s">
        <v>97</v>
      </c>
      <c r="B31" s="453"/>
      <c r="C31" s="122"/>
      <c r="D31" s="123"/>
      <c r="E31" s="65">
        <f t="shared" ref="E31:O31" si="45">SUM(E20:E30)</f>
        <v>125.77</v>
      </c>
      <c r="F31" s="124">
        <f t="shared" si="45"/>
        <v>139.31</v>
      </c>
      <c r="G31" s="124">
        <f t="shared" si="45"/>
        <v>136.61000000000001</v>
      </c>
      <c r="H31" s="124">
        <f t="shared" si="45"/>
        <v>136.61000000000001</v>
      </c>
      <c r="I31" s="124">
        <f t="shared" si="45"/>
        <v>136.61000000000001</v>
      </c>
      <c r="J31" s="124">
        <f t="shared" si="45"/>
        <v>136.61000000000001</v>
      </c>
      <c r="K31" s="124">
        <f t="shared" si="45"/>
        <v>136.61000000000001</v>
      </c>
      <c r="L31" s="125">
        <f t="shared" si="45"/>
        <v>136.61000000000001</v>
      </c>
      <c r="M31" s="126">
        <f t="shared" si="45"/>
        <v>137.15</v>
      </c>
      <c r="N31" s="126">
        <f t="shared" si="45"/>
        <v>137.10999999999999</v>
      </c>
      <c r="O31" s="127">
        <f t="shared" si="45"/>
        <v>137.67999999999998</v>
      </c>
      <c r="P31" s="127">
        <v>137.68</v>
      </c>
      <c r="Q31" s="127">
        <f>SUM(Q20:Q30)</f>
        <v>137.67999999999998</v>
      </c>
      <c r="R31" s="127">
        <f>SUM(R20:R30)</f>
        <v>137.67999999999998</v>
      </c>
      <c r="S31" s="69">
        <f>SUM(S20:S30)</f>
        <v>37.582000000000001</v>
      </c>
      <c r="T31" s="70">
        <f>S31/($R31)</f>
        <v>0.27296629866356775</v>
      </c>
      <c r="U31" s="69">
        <f>SUM(U20:U30)</f>
        <v>43.777000000000008</v>
      </c>
      <c r="V31" s="70">
        <f>U31/($R31)</f>
        <v>0.31796194073213258</v>
      </c>
      <c r="W31" s="69">
        <f>SUM(W20:W30)</f>
        <v>45.800000000000004</v>
      </c>
      <c r="X31" s="70">
        <f>W31/($R31)</f>
        <v>0.33265543288785598</v>
      </c>
      <c r="Y31" s="69">
        <f>SUM(Y20:Y30)</f>
        <v>54.520518999999993</v>
      </c>
      <c r="Z31" s="70">
        <f>Y31/($R31)</f>
        <v>0.39599447269029636</v>
      </c>
      <c r="AA31" s="69">
        <f>SUM(AA20:AA30)</f>
        <v>63.111079999999994</v>
      </c>
      <c r="AB31" s="70">
        <f>AA31/($R31)</f>
        <v>0.45838959907030796</v>
      </c>
      <c r="AC31" s="69">
        <f>SUM(AC20:AC30)</f>
        <v>79.027999999999992</v>
      </c>
      <c r="AD31" s="70">
        <f>AC31/($R31)</f>
        <v>0.57399767576990124</v>
      </c>
      <c r="AE31" s="69">
        <f>SUM(AE20:AE30)</f>
        <v>81.798502000000013</v>
      </c>
      <c r="AF31" s="70">
        <f>AE31/($R31)</f>
        <v>0.59412043869843134</v>
      </c>
      <c r="AG31" s="69">
        <f>SUM(AG20:AG30)</f>
        <v>85.866980000000012</v>
      </c>
      <c r="AH31" s="70">
        <f>AG31/($R31)</f>
        <v>0.62367068564787931</v>
      </c>
      <c r="AI31" s="69">
        <f>SUM(AI20:AI30)</f>
        <v>86.769980000000004</v>
      </c>
      <c r="AJ31" s="70">
        <f>AI31/($R31)</f>
        <v>0.63022937245787347</v>
      </c>
      <c r="AK31" s="69">
        <f>SUM(AK20:AK30)</f>
        <v>86.20443800000001</v>
      </c>
      <c r="AL31" s="70">
        <f>AK31/($R31)</f>
        <v>0.62612171702498565</v>
      </c>
      <c r="AM31" s="69">
        <f>SUM(AM20:AM30)</f>
        <v>82.626480000000001</v>
      </c>
      <c r="AN31" s="70">
        <f>AM31/($R31)</f>
        <v>0.60013422428820462</v>
      </c>
      <c r="AO31" s="69">
        <f>SUM(AO20:AO30)</f>
        <v>76.996200999999999</v>
      </c>
      <c r="AP31" s="70">
        <f>AO31/($R31-R22)</f>
        <v>0.56790235285440338</v>
      </c>
      <c r="AQ31" s="69">
        <f>SUM(AQ20:AQ30)</f>
        <v>73.070975999999987</v>
      </c>
      <c r="AR31" s="70">
        <f>AQ31/($R31-R22)</f>
        <v>0.53895099572208283</v>
      </c>
      <c r="AS31" s="69">
        <f>SUM(AS20:AS30)</f>
        <v>65.942675999999992</v>
      </c>
      <c r="AT31" s="70">
        <f>AS31/($R31)</f>
        <v>0.47895610110400932</v>
      </c>
      <c r="AU31" s="69">
        <f>SUM(AU20:AU30)</f>
        <v>60.039790000000004</v>
      </c>
      <c r="AV31" s="70">
        <f>AU31/($R31)</f>
        <v>0.43608214700755382</v>
      </c>
      <c r="AW31" s="69">
        <f>SUM(AW20:AW30)</f>
        <v>56.278569999999995</v>
      </c>
      <c r="AX31" s="70">
        <f>AW31/($R31)</f>
        <v>0.40876358221963977</v>
      </c>
      <c r="AY31" s="69">
        <f>SUM(AY20:AY30)</f>
        <v>53.439247000000002</v>
      </c>
      <c r="AZ31" s="70">
        <f>AY31/($R31)</f>
        <v>0.38814095729227199</v>
      </c>
      <c r="BA31" s="69">
        <f>SUM(BA20:BA30)</f>
        <v>49.649859159999998</v>
      </c>
      <c r="BB31" s="70">
        <f>BA31/($R31)</f>
        <v>0.36061780331202792</v>
      </c>
      <c r="BC31" s="69">
        <f>SUM(BC20:BC30)</f>
        <v>46.175272249999999</v>
      </c>
      <c r="BD31" s="70">
        <f>BC31/($R31)</f>
        <v>0.33538111744625221</v>
      </c>
      <c r="BE31" s="69">
        <f>SUM(BE20:BE30)</f>
        <v>43.062600000000003</v>
      </c>
      <c r="BF31" s="70">
        <f>BE31/($R31)</f>
        <v>0.31277309703660672</v>
      </c>
      <c r="BG31" s="69">
        <f>SUM(BG20:BG30)</f>
        <v>40.833829999999999</v>
      </c>
      <c r="BH31" s="70">
        <f>BG31/($R31)</f>
        <v>0.29658505229517729</v>
      </c>
      <c r="BI31" s="69">
        <f>SUM(BI20:BI30)</f>
        <v>48.356999999999999</v>
      </c>
      <c r="BJ31" s="70">
        <f>BI31/($R31)</f>
        <v>0.35122748402091813</v>
      </c>
      <c r="BK31" s="71"/>
      <c r="BL31" s="72"/>
    </row>
    <row r="32" spans="1:67" ht="7.5" customHeight="1">
      <c r="A32" s="102"/>
      <c r="B32" s="102"/>
      <c r="C32" s="103"/>
      <c r="D32" s="104"/>
      <c r="E32" s="96"/>
      <c r="F32" s="96"/>
      <c r="G32" s="96"/>
      <c r="H32" s="96"/>
      <c r="I32" s="96"/>
      <c r="J32" s="96"/>
      <c r="K32" s="96"/>
      <c r="L32" s="105"/>
      <c r="M32" s="128"/>
      <c r="N32" s="128"/>
      <c r="O32" s="129"/>
      <c r="P32" s="129"/>
      <c r="Q32" s="129"/>
      <c r="R32" s="129"/>
      <c r="S32" s="80"/>
      <c r="T32" s="81"/>
      <c r="U32" s="80"/>
      <c r="V32" s="81"/>
      <c r="W32" s="80"/>
      <c r="X32" s="81"/>
      <c r="Y32" s="80"/>
      <c r="Z32" s="81"/>
      <c r="AA32" s="80"/>
      <c r="AB32" s="81"/>
      <c r="AC32" s="80"/>
      <c r="AD32" s="81"/>
      <c r="AE32" s="80"/>
      <c r="AF32" s="81"/>
      <c r="AG32" s="80"/>
      <c r="AH32" s="81"/>
      <c r="AI32" s="80"/>
      <c r="AJ32" s="81"/>
      <c r="AK32" s="80"/>
      <c r="AL32" s="81"/>
      <c r="AM32" s="80"/>
      <c r="AN32" s="81"/>
      <c r="AO32" s="80"/>
      <c r="AP32" s="81"/>
      <c r="AQ32" s="80"/>
      <c r="AR32" s="81"/>
      <c r="AS32" s="80"/>
      <c r="AT32" s="81"/>
      <c r="AU32" s="80"/>
      <c r="AV32" s="81"/>
      <c r="AW32" s="80"/>
      <c r="AX32" s="81"/>
      <c r="AY32" s="80"/>
      <c r="AZ32" s="81"/>
      <c r="BA32" s="80"/>
      <c r="BB32" s="81"/>
      <c r="BC32" s="80"/>
      <c r="BD32" s="81"/>
      <c r="BE32" s="80"/>
      <c r="BF32" s="81"/>
      <c r="BG32" s="80"/>
      <c r="BH32" s="81"/>
      <c r="BI32" s="80"/>
      <c r="BJ32" s="81"/>
      <c r="BK32" s="82"/>
    </row>
    <row r="33" spans="1:64">
      <c r="A33" s="38" t="s">
        <v>98</v>
      </c>
      <c r="B33" s="38" t="s">
        <v>99</v>
      </c>
      <c r="C33" s="39">
        <v>28</v>
      </c>
      <c r="D33" s="98" t="s">
        <v>100</v>
      </c>
      <c r="E33" s="42">
        <v>10</v>
      </c>
      <c r="F33" s="42">
        <v>10</v>
      </c>
      <c r="G33" s="42">
        <v>10</v>
      </c>
      <c r="H33" s="42">
        <v>10</v>
      </c>
      <c r="I33" s="42">
        <v>10</v>
      </c>
      <c r="J33" s="42">
        <v>10</v>
      </c>
      <c r="K33" s="42">
        <v>10</v>
      </c>
      <c r="L33" s="43">
        <v>10</v>
      </c>
      <c r="M33" s="44">
        <v>10</v>
      </c>
      <c r="N33" s="44">
        <v>10</v>
      </c>
      <c r="O33" s="45">
        <v>10</v>
      </c>
      <c r="P33" s="45">
        <v>10</v>
      </c>
      <c r="Q33" s="45">
        <v>10</v>
      </c>
      <c r="R33" s="45">
        <v>10</v>
      </c>
      <c r="S33" s="112">
        <v>2.077</v>
      </c>
      <c r="T33" s="113">
        <f t="shared" ref="T33:T43" si="46">S33/$R33</f>
        <v>0.2077</v>
      </c>
      <c r="U33" s="112">
        <v>4.29</v>
      </c>
      <c r="V33" s="113">
        <f t="shared" ref="V33:V43" si="47">U33/$R33</f>
        <v>0.42899999999999999</v>
      </c>
      <c r="W33" s="112">
        <v>5.15</v>
      </c>
      <c r="X33" s="113">
        <f t="shared" ref="X33:X43" si="48">W33/$R33</f>
        <v>0.51500000000000001</v>
      </c>
      <c r="Y33" s="112">
        <v>6.0919999999999996</v>
      </c>
      <c r="Z33" s="113">
        <f t="shared" ref="Z33:Z43" si="49">Y33/$R33</f>
        <v>0.60919999999999996</v>
      </c>
      <c r="AA33" s="112">
        <v>7.6219999999999999</v>
      </c>
      <c r="AB33" s="113">
        <f t="shared" ref="AB33:AB43" si="50">AA33/$R33</f>
        <v>0.76219999999999999</v>
      </c>
      <c r="AC33" s="112">
        <v>9.1929999999999996</v>
      </c>
      <c r="AD33" s="113">
        <f t="shared" ref="AD33:AD43" si="51">AC33/$R33</f>
        <v>0.91930000000000001</v>
      </c>
      <c r="AE33" s="112">
        <v>9.8420000000000005</v>
      </c>
      <c r="AF33" s="113">
        <f t="shared" ref="AF33:AF43" si="52">AE33/$R33</f>
        <v>0.98420000000000007</v>
      </c>
      <c r="AG33" s="112">
        <v>9.9846000000000004</v>
      </c>
      <c r="AH33" s="113">
        <f t="shared" ref="AH33:AH43" si="53">AG33/$R33</f>
        <v>0.99846000000000001</v>
      </c>
      <c r="AI33" s="112">
        <v>9.9846000000000004</v>
      </c>
      <c r="AJ33" s="113">
        <f t="shared" ref="AJ33:AJ43" si="54">AI33/$R33</f>
        <v>0.99846000000000001</v>
      </c>
      <c r="AK33" s="112">
        <v>9.9041999999999994</v>
      </c>
      <c r="AL33" s="113">
        <f t="shared" ref="AL33:AL43" si="55">AK33/$R33</f>
        <v>0.99041999999999997</v>
      </c>
      <c r="AM33" s="112">
        <v>9.2149000000000001</v>
      </c>
      <c r="AN33" s="113">
        <f t="shared" ref="AN33:AN43" si="56">AM33/$R33</f>
        <v>0.92149000000000003</v>
      </c>
      <c r="AO33" s="112">
        <v>7.7370000000000001</v>
      </c>
      <c r="AP33" s="113">
        <f t="shared" ref="AP33:AP43" si="57">AO33/$R33</f>
        <v>0.77370000000000005</v>
      </c>
      <c r="AQ33" s="112">
        <v>6.7925000000000004</v>
      </c>
      <c r="AR33" s="113">
        <f t="shared" ref="AR33:AR43" si="58">AQ33/$R33</f>
        <v>0.67925000000000002</v>
      </c>
      <c r="AS33" s="112">
        <v>5.4337999999999997</v>
      </c>
      <c r="AT33" s="113">
        <f t="shared" ref="AT33:AT43" si="59">AS33/$R33</f>
        <v>0.54337999999999997</v>
      </c>
      <c r="AU33" s="112">
        <v>4.8604000000000003</v>
      </c>
      <c r="AV33" s="113">
        <f t="shared" ref="AV33:AV43" si="60">AU33/$R33</f>
        <v>0.48604000000000003</v>
      </c>
      <c r="AW33" s="112">
        <v>4.5130999999999997</v>
      </c>
      <c r="AX33" s="113">
        <f t="shared" ref="AX33:AX43" si="61">AW33/$R33</f>
        <v>0.45130999999999999</v>
      </c>
      <c r="AY33" s="112">
        <v>4.3379000000000003</v>
      </c>
      <c r="AZ33" s="113">
        <f t="shared" ref="AZ33:AZ43" si="62">AY33/$R33</f>
        <v>0.43379000000000001</v>
      </c>
      <c r="BA33" s="112">
        <v>4.0072000000000001</v>
      </c>
      <c r="BB33" s="113">
        <f t="shared" ref="BB33:BB43" si="63">BA33/$R33</f>
        <v>0.40072000000000002</v>
      </c>
      <c r="BC33" s="112">
        <v>4.0328999999999997</v>
      </c>
      <c r="BD33" s="113">
        <f t="shared" ref="BD33:BD43" si="64">BC33/$R33</f>
        <v>0.40328999999999998</v>
      </c>
      <c r="BE33" s="112">
        <v>3.819</v>
      </c>
      <c r="BF33" s="113">
        <f t="shared" ref="BF33:BF43" si="65">BE33/$R33</f>
        <v>0.38190000000000002</v>
      </c>
      <c r="BG33" s="112">
        <v>3.6709999999999998</v>
      </c>
      <c r="BH33" s="113">
        <f t="shared" ref="BH33:BH43" si="66">BG33/$R33</f>
        <v>0.36709999999999998</v>
      </c>
      <c r="BI33" s="112">
        <v>4.0250000000000004</v>
      </c>
      <c r="BJ33" s="113">
        <f t="shared" ref="BJ33:BJ43" si="67">BI33/$R33</f>
        <v>0.40250000000000002</v>
      </c>
      <c r="BK33" s="36" t="s">
        <v>42</v>
      </c>
    </row>
    <row r="34" spans="1:64">
      <c r="A34" s="38" t="s">
        <v>98</v>
      </c>
      <c r="B34" s="38" t="s">
        <v>101</v>
      </c>
      <c r="C34" s="39">
        <v>43</v>
      </c>
      <c r="D34" s="98" t="s">
        <v>102</v>
      </c>
      <c r="E34" s="42">
        <v>2.2999999999999998</v>
      </c>
      <c r="F34" s="42">
        <v>2.2999999999999998</v>
      </c>
      <c r="G34" s="42">
        <v>2.2999999999999998</v>
      </c>
      <c r="H34" s="42">
        <v>2.2999999999999998</v>
      </c>
      <c r="I34" s="42">
        <v>2.2999999999999998</v>
      </c>
      <c r="J34" s="42">
        <v>2.2999999999999998</v>
      </c>
      <c r="K34" s="42">
        <v>2.2999999999999998</v>
      </c>
      <c r="L34" s="43">
        <v>2.2999999999999998</v>
      </c>
      <c r="M34" s="44">
        <v>2.2999999999999998</v>
      </c>
      <c r="N34" s="44">
        <v>2.2999999999999998</v>
      </c>
      <c r="O34" s="45">
        <v>2.2999999999999998</v>
      </c>
      <c r="P34" s="45">
        <v>2.2999999999999998</v>
      </c>
      <c r="Q34" s="45">
        <v>2.2999999999999998</v>
      </c>
      <c r="R34" s="45">
        <v>2.2999999999999998</v>
      </c>
      <c r="S34" s="46">
        <v>0.57099999999999995</v>
      </c>
      <c r="T34" s="47">
        <f t="shared" si="46"/>
        <v>0.2482608695652174</v>
      </c>
      <c r="U34" s="46">
        <v>1.7</v>
      </c>
      <c r="V34" s="47">
        <f t="shared" si="47"/>
        <v>0.73913043478260876</v>
      </c>
      <c r="W34" s="46">
        <v>1.81</v>
      </c>
      <c r="X34" s="47">
        <f t="shared" si="48"/>
        <v>0.78695652173913055</v>
      </c>
      <c r="Y34" s="46">
        <v>2.1680000000000001</v>
      </c>
      <c r="Z34" s="47">
        <f t="shared" si="49"/>
        <v>0.94260869565217409</v>
      </c>
      <c r="AA34" s="46">
        <v>2.2999999999999998</v>
      </c>
      <c r="AB34" s="47">
        <f t="shared" si="50"/>
        <v>1</v>
      </c>
      <c r="AC34" s="46">
        <v>2.2999999999999998</v>
      </c>
      <c r="AD34" s="47">
        <f t="shared" si="51"/>
        <v>1</v>
      </c>
      <c r="AE34" s="46">
        <v>2.2999999999999998</v>
      </c>
      <c r="AF34" s="47">
        <f t="shared" si="52"/>
        <v>1</v>
      </c>
      <c r="AG34" s="46">
        <v>2.2999999999999998</v>
      </c>
      <c r="AH34" s="47">
        <f t="shared" si="53"/>
        <v>1</v>
      </c>
      <c r="AI34" s="46">
        <v>2.2999999999999998</v>
      </c>
      <c r="AJ34" s="47">
        <f t="shared" si="54"/>
        <v>1</v>
      </c>
      <c r="AK34" s="46">
        <v>2.2688000000000001</v>
      </c>
      <c r="AL34" s="47">
        <f t="shared" si="55"/>
        <v>0.98643478260869577</v>
      </c>
      <c r="AM34" s="46">
        <v>2.2008000000000001</v>
      </c>
      <c r="AN34" s="47">
        <f t="shared" si="56"/>
        <v>0.95686956521739142</v>
      </c>
      <c r="AO34" s="46">
        <v>1.98</v>
      </c>
      <c r="AP34" s="47">
        <f t="shared" si="57"/>
        <v>0.86086956521739133</v>
      </c>
      <c r="AQ34" s="46">
        <v>1.8090999999999999</v>
      </c>
      <c r="AR34" s="47">
        <f t="shared" si="58"/>
        <v>0.78656521739130436</v>
      </c>
      <c r="AS34" s="46">
        <v>1.4862</v>
      </c>
      <c r="AT34" s="47">
        <f t="shared" si="59"/>
        <v>0.64617391304347827</v>
      </c>
      <c r="AU34" s="46">
        <v>1.3043</v>
      </c>
      <c r="AV34" s="47">
        <f t="shared" si="60"/>
        <v>0.56708695652173913</v>
      </c>
      <c r="AW34" s="46">
        <v>1.2353000000000001</v>
      </c>
      <c r="AX34" s="47">
        <f t="shared" si="61"/>
        <v>0.53708695652173921</v>
      </c>
      <c r="AY34" s="46">
        <v>1.1950000000000001</v>
      </c>
      <c r="AZ34" s="47">
        <f t="shared" si="62"/>
        <v>0.51956521739130446</v>
      </c>
      <c r="BA34" s="46">
        <v>1.0803</v>
      </c>
      <c r="BB34" s="47">
        <f t="shared" si="63"/>
        <v>0.46969565217391307</v>
      </c>
      <c r="BC34" s="46">
        <v>1.0109999999999999</v>
      </c>
      <c r="BD34" s="47">
        <f t="shared" si="64"/>
        <v>0.43956521739130433</v>
      </c>
      <c r="BE34" s="46">
        <v>0.96699999999999997</v>
      </c>
      <c r="BF34" s="47">
        <f t="shared" si="65"/>
        <v>0.42043478260869566</v>
      </c>
      <c r="BG34" s="46">
        <v>0.81599999999999995</v>
      </c>
      <c r="BH34" s="47">
        <f t="shared" si="66"/>
        <v>0.3547826086956522</v>
      </c>
      <c r="BI34" s="46">
        <v>1.7370000000000001</v>
      </c>
      <c r="BJ34" s="47">
        <f t="shared" si="67"/>
        <v>0.75521739130434795</v>
      </c>
      <c r="BK34" s="36" t="s">
        <v>42</v>
      </c>
    </row>
    <row r="35" spans="1:64">
      <c r="A35" s="38" t="s">
        <v>98</v>
      </c>
      <c r="B35" s="38" t="s">
        <v>103</v>
      </c>
      <c r="C35" s="39">
        <v>47</v>
      </c>
      <c r="D35" s="98" t="s">
        <v>104</v>
      </c>
      <c r="E35" s="42">
        <v>3.4</v>
      </c>
      <c r="F35" s="42">
        <v>3.4</v>
      </c>
      <c r="G35" s="42">
        <v>3.4</v>
      </c>
      <c r="H35" s="42">
        <v>3.4</v>
      </c>
      <c r="I35" s="42">
        <v>3.4</v>
      </c>
      <c r="J35" s="42">
        <v>3.4</v>
      </c>
      <c r="K35" s="42">
        <v>3.4</v>
      </c>
      <c r="L35" s="43">
        <v>3.4</v>
      </c>
      <c r="M35" s="130">
        <v>3.4</v>
      </c>
      <c r="N35" s="44">
        <v>3.4</v>
      </c>
      <c r="O35" s="45">
        <v>3.4</v>
      </c>
      <c r="P35" s="45">
        <v>3.4</v>
      </c>
      <c r="Q35" s="45">
        <v>3.4</v>
      </c>
      <c r="R35" s="45">
        <v>3.4</v>
      </c>
      <c r="S35" s="46">
        <v>1.577</v>
      </c>
      <c r="T35" s="47">
        <f t="shared" si="46"/>
        <v>0.46382352941176469</v>
      </c>
      <c r="U35" s="46">
        <v>2.52</v>
      </c>
      <c r="V35" s="47">
        <f t="shared" si="47"/>
        <v>0.74117647058823533</v>
      </c>
      <c r="W35" s="46">
        <v>2.4500000000000002</v>
      </c>
      <c r="X35" s="47">
        <f t="shared" si="48"/>
        <v>0.72058823529411775</v>
      </c>
      <c r="Y35" s="46">
        <v>2.649</v>
      </c>
      <c r="Z35" s="47">
        <f t="shared" si="49"/>
        <v>0.77911764705882358</v>
      </c>
      <c r="AA35" s="46">
        <v>3.1440000000000001</v>
      </c>
      <c r="AB35" s="47">
        <f t="shared" si="50"/>
        <v>0.92470588235294127</v>
      </c>
      <c r="AC35" s="46">
        <v>3.4</v>
      </c>
      <c r="AD35" s="47">
        <f t="shared" si="51"/>
        <v>1</v>
      </c>
      <c r="AE35" s="46">
        <v>3.4</v>
      </c>
      <c r="AF35" s="47">
        <f t="shared" si="52"/>
        <v>1</v>
      </c>
      <c r="AG35" s="46">
        <v>3.3639999999999999</v>
      </c>
      <c r="AH35" s="47">
        <f t="shared" si="53"/>
        <v>0.98941176470588232</v>
      </c>
      <c r="AI35" s="46">
        <v>3.3574000000000002</v>
      </c>
      <c r="AJ35" s="47">
        <f t="shared" si="54"/>
        <v>0.98747058823529421</v>
      </c>
      <c r="AK35" s="46">
        <v>3.2486000000000002</v>
      </c>
      <c r="AL35" s="47">
        <f t="shared" si="55"/>
        <v>0.95547058823529418</v>
      </c>
      <c r="AM35" s="46">
        <v>2.85</v>
      </c>
      <c r="AN35" s="47">
        <f t="shared" si="56"/>
        <v>0.83823529411764708</v>
      </c>
      <c r="AO35" s="46">
        <v>2.2538</v>
      </c>
      <c r="AP35" s="47">
        <f t="shared" si="57"/>
        <v>0.66288235294117648</v>
      </c>
      <c r="AQ35" s="46">
        <v>1.8280000000000001</v>
      </c>
      <c r="AR35" s="47">
        <f t="shared" si="58"/>
        <v>0.53764705882352948</v>
      </c>
      <c r="AS35" s="46">
        <v>1.349</v>
      </c>
      <c r="AT35" s="47">
        <f t="shared" si="59"/>
        <v>0.39676470588235296</v>
      </c>
      <c r="AU35" s="46">
        <v>1.0277000000000001</v>
      </c>
      <c r="AV35" s="47">
        <f t="shared" si="60"/>
        <v>0.30226470588235299</v>
      </c>
      <c r="AW35" s="46">
        <v>1.0273000000000001</v>
      </c>
      <c r="AX35" s="47">
        <f t="shared" si="61"/>
        <v>0.30214705882352944</v>
      </c>
      <c r="AY35" s="46">
        <v>1.0284</v>
      </c>
      <c r="AZ35" s="47">
        <f t="shared" si="62"/>
        <v>0.3024705882352941</v>
      </c>
      <c r="BA35" s="46">
        <v>0.94391999999999998</v>
      </c>
      <c r="BB35" s="47">
        <f t="shared" si="63"/>
        <v>0.27762352941176471</v>
      </c>
      <c r="BC35" s="46">
        <v>0.87517</v>
      </c>
      <c r="BD35" s="47">
        <f t="shared" si="64"/>
        <v>0.25740294117647061</v>
      </c>
      <c r="BE35" s="46">
        <v>0.84199999999999997</v>
      </c>
      <c r="BF35" s="47">
        <f t="shared" si="65"/>
        <v>0.24764705882352941</v>
      </c>
      <c r="BG35" s="46">
        <v>0.81899999999999995</v>
      </c>
      <c r="BH35" s="47">
        <f t="shared" si="66"/>
        <v>0.24088235294117646</v>
      </c>
      <c r="BI35" s="46">
        <v>1.52</v>
      </c>
      <c r="BJ35" s="47">
        <f t="shared" si="67"/>
        <v>0.44705882352941179</v>
      </c>
      <c r="BK35" s="36" t="s">
        <v>42</v>
      </c>
    </row>
    <row r="36" spans="1:64">
      <c r="A36" s="38" t="s">
        <v>98</v>
      </c>
      <c r="B36" s="38" t="s">
        <v>105</v>
      </c>
      <c r="C36" s="39">
        <v>27</v>
      </c>
      <c r="D36" s="98" t="s">
        <v>106</v>
      </c>
      <c r="E36" s="42">
        <v>24</v>
      </c>
      <c r="F36" s="42">
        <v>24</v>
      </c>
      <c r="G36" s="42">
        <v>24</v>
      </c>
      <c r="H36" s="42">
        <v>24</v>
      </c>
      <c r="I36" s="42">
        <v>24</v>
      </c>
      <c r="J36" s="42">
        <v>24</v>
      </c>
      <c r="K36" s="42">
        <v>24</v>
      </c>
      <c r="L36" s="43">
        <v>24</v>
      </c>
      <c r="M36" s="44">
        <v>24</v>
      </c>
      <c r="N36" s="44">
        <v>24</v>
      </c>
      <c r="O36" s="45">
        <v>24</v>
      </c>
      <c r="P36" s="45">
        <v>24</v>
      </c>
      <c r="Q36" s="45">
        <v>24</v>
      </c>
      <c r="R36" s="45">
        <v>24</v>
      </c>
      <c r="S36" s="46">
        <v>7.7210000000000001</v>
      </c>
      <c r="T36" s="47">
        <f t="shared" si="46"/>
        <v>0.32170833333333332</v>
      </c>
      <c r="U36" s="46">
        <v>12</v>
      </c>
      <c r="V36" s="47">
        <f t="shared" si="47"/>
        <v>0.5</v>
      </c>
      <c r="W36" s="46">
        <v>13.88</v>
      </c>
      <c r="X36" s="47">
        <f t="shared" si="48"/>
        <v>0.57833333333333337</v>
      </c>
      <c r="Y36" s="46">
        <v>15.643000000000001</v>
      </c>
      <c r="Z36" s="47">
        <f t="shared" si="49"/>
        <v>0.65179166666666666</v>
      </c>
      <c r="AA36" s="46">
        <v>18.901</v>
      </c>
      <c r="AB36" s="47">
        <f t="shared" si="50"/>
        <v>0.7875416666666667</v>
      </c>
      <c r="AC36" s="46">
        <v>24</v>
      </c>
      <c r="AD36" s="47">
        <f t="shared" si="51"/>
        <v>1</v>
      </c>
      <c r="AE36" s="46">
        <v>24</v>
      </c>
      <c r="AF36" s="47">
        <f t="shared" si="52"/>
        <v>1</v>
      </c>
      <c r="AG36" s="46">
        <v>24</v>
      </c>
      <c r="AH36" s="47">
        <f t="shared" si="53"/>
        <v>1</v>
      </c>
      <c r="AI36" s="46">
        <v>24</v>
      </c>
      <c r="AJ36" s="47">
        <f t="shared" si="54"/>
        <v>1</v>
      </c>
      <c r="AK36" s="46">
        <v>23.824999999999999</v>
      </c>
      <c r="AL36" s="47">
        <f t="shared" si="55"/>
        <v>0.9927083333333333</v>
      </c>
      <c r="AM36" s="46">
        <v>22.902999999999999</v>
      </c>
      <c r="AN36" s="47">
        <f t="shared" si="56"/>
        <v>0.95429166666666665</v>
      </c>
      <c r="AO36" s="46">
        <v>20.97</v>
      </c>
      <c r="AP36" s="47">
        <f t="shared" si="57"/>
        <v>0.87374999999999992</v>
      </c>
      <c r="AQ36" s="46">
        <v>19.489000000000001</v>
      </c>
      <c r="AR36" s="47">
        <f t="shared" si="58"/>
        <v>0.81204166666666666</v>
      </c>
      <c r="AS36" s="46">
        <v>17.297999999999998</v>
      </c>
      <c r="AT36" s="47">
        <f t="shared" si="59"/>
        <v>0.72074999999999989</v>
      </c>
      <c r="AU36" s="46">
        <v>16.183</v>
      </c>
      <c r="AV36" s="47">
        <f t="shared" si="60"/>
        <v>0.67429166666666662</v>
      </c>
      <c r="AW36" s="46">
        <v>15.535</v>
      </c>
      <c r="AX36" s="47">
        <f t="shared" si="61"/>
        <v>0.64729166666666671</v>
      </c>
      <c r="AY36" s="46">
        <v>15.192</v>
      </c>
      <c r="AZ36" s="47">
        <f t="shared" si="62"/>
        <v>0.63300000000000001</v>
      </c>
      <c r="BA36" s="46">
        <v>14.72</v>
      </c>
      <c r="BB36" s="47">
        <f t="shared" si="63"/>
        <v>0.6133333333333334</v>
      </c>
      <c r="BC36" s="46">
        <v>13.988</v>
      </c>
      <c r="BD36" s="47">
        <f t="shared" si="64"/>
        <v>0.58283333333333331</v>
      </c>
      <c r="BE36" s="46">
        <v>12.986000000000001</v>
      </c>
      <c r="BF36" s="47">
        <f t="shared" si="65"/>
        <v>0.54108333333333336</v>
      </c>
      <c r="BG36" s="46">
        <v>13.074</v>
      </c>
      <c r="BH36" s="47">
        <f t="shared" si="66"/>
        <v>0.54474999999999996</v>
      </c>
      <c r="BI36" s="46">
        <v>15.603</v>
      </c>
      <c r="BJ36" s="47">
        <f t="shared" si="67"/>
        <v>0.65012499999999995</v>
      </c>
      <c r="BK36" s="36" t="s">
        <v>42</v>
      </c>
    </row>
    <row r="37" spans="1:64">
      <c r="A37" s="38" t="s">
        <v>98</v>
      </c>
      <c r="B37" s="38" t="s">
        <v>107</v>
      </c>
      <c r="C37" s="39">
        <v>32</v>
      </c>
      <c r="D37" s="98" t="s">
        <v>108</v>
      </c>
      <c r="E37" s="42">
        <v>2</v>
      </c>
      <c r="F37" s="42">
        <v>2</v>
      </c>
      <c r="G37" s="42">
        <v>2</v>
      </c>
      <c r="H37" s="42">
        <v>2</v>
      </c>
      <c r="I37" s="42">
        <v>2</v>
      </c>
      <c r="J37" s="42">
        <v>2</v>
      </c>
      <c r="K37" s="42">
        <v>2.5</v>
      </c>
      <c r="L37" s="43">
        <v>2.5</v>
      </c>
      <c r="M37" s="44">
        <v>2.5</v>
      </c>
      <c r="N37" s="44">
        <v>2.5</v>
      </c>
      <c r="O37" s="45">
        <v>2.5</v>
      </c>
      <c r="P37" s="45">
        <v>2.5</v>
      </c>
      <c r="Q37" s="45">
        <v>2.5</v>
      </c>
      <c r="R37" s="45">
        <v>2.5</v>
      </c>
      <c r="S37" s="46">
        <v>1.1080000000000001</v>
      </c>
      <c r="T37" s="47">
        <f t="shared" si="46"/>
        <v>0.44320000000000004</v>
      </c>
      <c r="U37" s="46">
        <v>2.46</v>
      </c>
      <c r="V37" s="47">
        <f t="shared" si="47"/>
        <v>0.98399999999999999</v>
      </c>
      <c r="W37" s="46">
        <v>2.4900000000000002</v>
      </c>
      <c r="X37" s="47">
        <f t="shared" si="48"/>
        <v>0.99600000000000011</v>
      </c>
      <c r="Y37" s="46">
        <v>2.4590000000000001</v>
      </c>
      <c r="Z37" s="47">
        <f t="shared" si="49"/>
        <v>0.98360000000000003</v>
      </c>
      <c r="AA37" s="46">
        <v>2.4820000000000002</v>
      </c>
      <c r="AB37" s="47">
        <f t="shared" si="50"/>
        <v>0.99280000000000013</v>
      </c>
      <c r="AC37" s="46">
        <v>2.5</v>
      </c>
      <c r="AD37" s="47">
        <f t="shared" si="51"/>
        <v>1</v>
      </c>
      <c r="AE37" s="46">
        <v>2.46</v>
      </c>
      <c r="AF37" s="47">
        <f t="shared" si="52"/>
        <v>0.98399999999999999</v>
      </c>
      <c r="AG37" s="46">
        <v>2.5</v>
      </c>
      <c r="AH37" s="47">
        <f t="shared" si="53"/>
        <v>1</v>
      </c>
      <c r="AI37" s="46">
        <v>2.5</v>
      </c>
      <c r="AJ37" s="47">
        <f t="shared" si="54"/>
        <v>1</v>
      </c>
      <c r="AK37" s="46">
        <v>2.3386999999999998</v>
      </c>
      <c r="AL37" s="47">
        <f t="shared" si="55"/>
        <v>0.93547999999999987</v>
      </c>
      <c r="AM37" s="46">
        <v>2.4007999999999998</v>
      </c>
      <c r="AN37" s="47">
        <f t="shared" si="56"/>
        <v>0.96031999999999995</v>
      </c>
      <c r="AO37" s="46">
        <v>2.5</v>
      </c>
      <c r="AP37" s="47">
        <f t="shared" si="57"/>
        <v>1</v>
      </c>
      <c r="AQ37" s="46">
        <v>1.4838</v>
      </c>
      <c r="AR37" s="47">
        <f t="shared" si="58"/>
        <v>0.59352000000000005</v>
      </c>
      <c r="AS37" s="46">
        <v>0.98823000000000005</v>
      </c>
      <c r="AT37" s="47">
        <f t="shared" si="59"/>
        <v>0.39529200000000003</v>
      </c>
      <c r="AU37" s="46">
        <v>0.81398999999999999</v>
      </c>
      <c r="AV37" s="47">
        <f t="shared" si="60"/>
        <v>0.325596</v>
      </c>
      <c r="AW37" s="46">
        <v>0.78722000000000003</v>
      </c>
      <c r="AX37" s="47">
        <f t="shared" si="61"/>
        <v>0.314888</v>
      </c>
      <c r="AY37" s="46">
        <v>0.73790999999999995</v>
      </c>
      <c r="AZ37" s="47">
        <f t="shared" si="62"/>
        <v>0.29516399999999998</v>
      </c>
      <c r="BA37" s="46">
        <v>0.60840000000000005</v>
      </c>
      <c r="BB37" s="47">
        <f t="shared" si="63"/>
        <v>0.24336000000000002</v>
      </c>
      <c r="BC37" s="46">
        <v>0.45172000000000001</v>
      </c>
      <c r="BD37" s="47">
        <f t="shared" si="64"/>
        <v>0.18068800000000002</v>
      </c>
      <c r="BE37" s="46">
        <v>0.33400000000000002</v>
      </c>
      <c r="BF37" s="47">
        <f t="shared" si="65"/>
        <v>0.1336</v>
      </c>
      <c r="BG37" s="46">
        <v>0.52</v>
      </c>
      <c r="BH37" s="47">
        <f t="shared" si="66"/>
        <v>0.20800000000000002</v>
      </c>
      <c r="BI37" s="46">
        <v>1.9570000000000001</v>
      </c>
      <c r="BJ37" s="47">
        <f t="shared" si="67"/>
        <v>0.78280000000000005</v>
      </c>
      <c r="BK37" s="36" t="s">
        <v>42</v>
      </c>
    </row>
    <row r="38" spans="1:64">
      <c r="A38" s="38" t="s">
        <v>98</v>
      </c>
      <c r="B38" s="38" t="s">
        <v>109</v>
      </c>
      <c r="C38" s="39">
        <v>25</v>
      </c>
      <c r="D38" s="98" t="s">
        <v>104</v>
      </c>
      <c r="E38" s="42">
        <v>3.72</v>
      </c>
      <c r="F38" s="42">
        <v>3.72</v>
      </c>
      <c r="G38" s="42">
        <v>3.72</v>
      </c>
      <c r="H38" s="42">
        <v>3.72</v>
      </c>
      <c r="I38" s="42">
        <v>3.72</v>
      </c>
      <c r="J38" s="42">
        <v>3.72</v>
      </c>
      <c r="K38" s="42">
        <v>3.72</v>
      </c>
      <c r="L38" s="43">
        <v>3.72</v>
      </c>
      <c r="M38" s="44">
        <v>3.72</v>
      </c>
      <c r="N38" s="44">
        <v>3.72</v>
      </c>
      <c r="O38" s="45">
        <v>3.72</v>
      </c>
      <c r="P38" s="45">
        <v>3.72</v>
      </c>
      <c r="Q38" s="45">
        <v>3.72</v>
      </c>
      <c r="R38" s="45">
        <v>3.72</v>
      </c>
      <c r="S38" s="46">
        <v>1.0680000000000001</v>
      </c>
      <c r="T38" s="47">
        <f t="shared" si="46"/>
        <v>0.2870967741935484</v>
      </c>
      <c r="U38" s="46">
        <v>2.59</v>
      </c>
      <c r="V38" s="47">
        <f t="shared" si="47"/>
        <v>0.69623655913978488</v>
      </c>
      <c r="W38" s="46">
        <v>2.61</v>
      </c>
      <c r="X38" s="47">
        <f t="shared" si="48"/>
        <v>0.70161290322580638</v>
      </c>
      <c r="Y38" s="46">
        <v>2.677</v>
      </c>
      <c r="Z38" s="47">
        <f t="shared" si="49"/>
        <v>0.71962365591397848</v>
      </c>
      <c r="AA38" s="46">
        <v>2.8570000000000002</v>
      </c>
      <c r="AB38" s="47">
        <f t="shared" si="50"/>
        <v>0.76801075268817209</v>
      </c>
      <c r="AC38" s="46">
        <v>3.1160000000000001</v>
      </c>
      <c r="AD38" s="47">
        <f t="shared" si="51"/>
        <v>0.83763440860215055</v>
      </c>
      <c r="AE38" s="46">
        <v>3.1230000000000002</v>
      </c>
      <c r="AF38" s="47">
        <f t="shared" si="52"/>
        <v>0.83951612903225803</v>
      </c>
      <c r="AG38" s="46">
        <v>3.1074999999999999</v>
      </c>
      <c r="AH38" s="47">
        <f t="shared" si="53"/>
        <v>0.83534946236559138</v>
      </c>
      <c r="AI38" s="46">
        <v>3.0550000000000002</v>
      </c>
      <c r="AJ38" s="47">
        <f t="shared" si="54"/>
        <v>0.82123655913978499</v>
      </c>
      <c r="AK38" s="46">
        <v>3.0110000000000001</v>
      </c>
      <c r="AL38" s="47">
        <f t="shared" si="55"/>
        <v>0.80940860215053767</v>
      </c>
      <c r="AM38" s="46">
        <v>2.8296999999999999</v>
      </c>
      <c r="AN38" s="47">
        <f t="shared" si="56"/>
        <v>0.76067204301075264</v>
      </c>
      <c r="AO38" s="46">
        <v>2.6419999999999999</v>
      </c>
      <c r="AP38" s="47">
        <f t="shared" si="57"/>
        <v>0.71021505376344085</v>
      </c>
      <c r="AQ38" s="46">
        <v>2.4904999999999999</v>
      </c>
      <c r="AR38" s="47">
        <f t="shared" si="58"/>
        <v>0.66948924731182791</v>
      </c>
      <c r="AS38" s="46">
        <v>2.3264</v>
      </c>
      <c r="AT38" s="47">
        <f t="shared" si="59"/>
        <v>0.6253763440860215</v>
      </c>
      <c r="AU38" s="46">
        <v>2.1349999999999998</v>
      </c>
      <c r="AV38" s="47">
        <f t="shared" si="60"/>
        <v>0.57392473118279563</v>
      </c>
      <c r="AW38" s="46">
        <v>1.9313</v>
      </c>
      <c r="AX38" s="47">
        <f t="shared" si="61"/>
        <v>0.51916666666666667</v>
      </c>
      <c r="AY38" s="46">
        <v>1.8822000000000001</v>
      </c>
      <c r="AZ38" s="47">
        <f t="shared" si="62"/>
        <v>0.50596774193548388</v>
      </c>
      <c r="BA38" s="46">
        <v>1.7974000000000001</v>
      </c>
      <c r="BB38" s="47">
        <f t="shared" si="63"/>
        <v>0.48317204301075267</v>
      </c>
      <c r="BC38" s="46">
        <v>1.6573</v>
      </c>
      <c r="BD38" s="47">
        <f t="shared" si="64"/>
        <v>0.44551075268817203</v>
      </c>
      <c r="BE38" s="46">
        <v>1.5329999999999999</v>
      </c>
      <c r="BF38" s="47">
        <f t="shared" si="65"/>
        <v>0.41209677419354834</v>
      </c>
      <c r="BG38" s="46">
        <v>1.4870000000000001</v>
      </c>
      <c r="BH38" s="47">
        <f t="shared" si="66"/>
        <v>0.39973118279569891</v>
      </c>
      <c r="BI38" s="46">
        <v>2.13</v>
      </c>
      <c r="BJ38" s="47">
        <f t="shared" si="67"/>
        <v>0.57258064516129026</v>
      </c>
      <c r="BK38" s="36" t="s">
        <v>42</v>
      </c>
    </row>
    <row r="39" spans="1:64">
      <c r="A39" s="38" t="s">
        <v>98</v>
      </c>
      <c r="B39" s="38" t="s">
        <v>110</v>
      </c>
      <c r="C39" s="39">
        <v>29</v>
      </c>
      <c r="D39" s="98" t="s">
        <v>111</v>
      </c>
      <c r="E39" s="42">
        <v>14</v>
      </c>
      <c r="F39" s="42">
        <v>14</v>
      </c>
      <c r="G39" s="42">
        <v>14</v>
      </c>
      <c r="H39" s="42">
        <v>14</v>
      </c>
      <c r="I39" s="42">
        <v>14</v>
      </c>
      <c r="J39" s="42">
        <v>14</v>
      </c>
      <c r="K39" s="42">
        <v>14</v>
      </c>
      <c r="L39" s="43">
        <v>14</v>
      </c>
      <c r="M39" s="44">
        <v>14</v>
      </c>
      <c r="N39" s="44">
        <v>14</v>
      </c>
      <c r="O39" s="45">
        <v>14</v>
      </c>
      <c r="P39" s="45">
        <v>14</v>
      </c>
      <c r="Q39" s="45">
        <v>14</v>
      </c>
      <c r="R39" s="45">
        <v>14</v>
      </c>
      <c r="S39" s="46">
        <v>4.9119999999999999</v>
      </c>
      <c r="T39" s="47">
        <f t="shared" si="46"/>
        <v>0.35085714285714287</v>
      </c>
      <c r="U39" s="46">
        <v>7.51</v>
      </c>
      <c r="V39" s="47">
        <f t="shared" si="47"/>
        <v>0.53642857142857137</v>
      </c>
      <c r="W39" s="46">
        <v>7.59</v>
      </c>
      <c r="X39" s="47">
        <f t="shared" si="48"/>
        <v>0.54214285714285715</v>
      </c>
      <c r="Y39" s="46">
        <v>8.75</v>
      </c>
      <c r="Z39" s="47">
        <f t="shared" si="49"/>
        <v>0.625</v>
      </c>
      <c r="AA39" s="46">
        <v>11.016999999999999</v>
      </c>
      <c r="AB39" s="47">
        <f t="shared" si="50"/>
        <v>0.78692857142857142</v>
      </c>
      <c r="AC39" s="46">
        <v>14</v>
      </c>
      <c r="AD39" s="47">
        <f t="shared" si="51"/>
        <v>1</v>
      </c>
      <c r="AE39" s="46">
        <v>14</v>
      </c>
      <c r="AF39" s="47">
        <f t="shared" si="52"/>
        <v>1</v>
      </c>
      <c r="AG39" s="46">
        <v>13.923999999999999</v>
      </c>
      <c r="AH39" s="47">
        <f t="shared" si="53"/>
        <v>0.99457142857142855</v>
      </c>
      <c r="AI39" s="46">
        <v>13.867000000000001</v>
      </c>
      <c r="AJ39" s="47">
        <f t="shared" si="54"/>
        <v>0.99050000000000005</v>
      </c>
      <c r="AK39" s="46">
        <v>13.867000000000001</v>
      </c>
      <c r="AL39" s="47">
        <f t="shared" si="55"/>
        <v>0.99050000000000005</v>
      </c>
      <c r="AM39" s="46">
        <v>13.202</v>
      </c>
      <c r="AN39" s="47">
        <f t="shared" si="56"/>
        <v>0.94299999999999995</v>
      </c>
      <c r="AO39" s="46">
        <v>11.992000000000001</v>
      </c>
      <c r="AP39" s="47">
        <f t="shared" si="57"/>
        <v>0.85657142857142865</v>
      </c>
      <c r="AQ39" s="46">
        <v>10.688000000000001</v>
      </c>
      <c r="AR39" s="47">
        <f t="shared" si="58"/>
        <v>0.76342857142857146</v>
      </c>
      <c r="AS39" s="46">
        <v>8.4832000000000001</v>
      </c>
      <c r="AT39" s="47">
        <f t="shared" si="59"/>
        <v>0.60594285714285712</v>
      </c>
      <c r="AU39" s="46">
        <v>7.2742000000000004</v>
      </c>
      <c r="AV39" s="47">
        <f t="shared" si="60"/>
        <v>0.51958571428571432</v>
      </c>
      <c r="AW39" s="46">
        <v>6.9875999999999996</v>
      </c>
      <c r="AX39" s="47">
        <f t="shared" si="61"/>
        <v>0.49911428571428568</v>
      </c>
      <c r="AY39" s="46">
        <v>6.8659999999999997</v>
      </c>
      <c r="AZ39" s="47">
        <f t="shared" si="62"/>
        <v>0.49042857142857138</v>
      </c>
      <c r="BA39" s="46">
        <v>6.6063000000000001</v>
      </c>
      <c r="BB39" s="47">
        <f t="shared" si="63"/>
        <v>0.47187857142857143</v>
      </c>
      <c r="BC39" s="46">
        <v>6.3615000000000004</v>
      </c>
      <c r="BD39" s="47">
        <f t="shared" si="64"/>
        <v>0.45439285714285715</v>
      </c>
      <c r="BE39" s="46">
        <v>6.2430000000000003</v>
      </c>
      <c r="BF39" s="47">
        <f t="shared" si="65"/>
        <v>0.44592857142857145</v>
      </c>
      <c r="BG39" s="46">
        <v>6.274</v>
      </c>
      <c r="BH39" s="47">
        <f t="shared" si="66"/>
        <v>0.44814285714285712</v>
      </c>
      <c r="BI39" s="46">
        <v>7.1390000000000002</v>
      </c>
      <c r="BJ39" s="47">
        <f t="shared" si="67"/>
        <v>0.5099285714285714</v>
      </c>
      <c r="BK39" s="36" t="s">
        <v>42</v>
      </c>
    </row>
    <row r="40" spans="1:64">
      <c r="A40" s="38" t="s">
        <v>98</v>
      </c>
      <c r="B40" s="38" t="s">
        <v>112</v>
      </c>
      <c r="C40" s="39">
        <v>15</v>
      </c>
      <c r="D40" s="98" t="s">
        <v>113</v>
      </c>
      <c r="E40" s="42">
        <v>2.9249999999999998</v>
      </c>
      <c r="F40" s="42">
        <v>2.9249999999999998</v>
      </c>
      <c r="G40" s="42">
        <v>2.9249999999999998</v>
      </c>
      <c r="H40" s="42">
        <v>2.9249999999999998</v>
      </c>
      <c r="I40" s="42">
        <v>2.9249999999999998</v>
      </c>
      <c r="J40" s="42">
        <v>2.9249999999999998</v>
      </c>
      <c r="K40" s="42">
        <v>2.9249999999999998</v>
      </c>
      <c r="L40" s="43">
        <v>2.9249999999999998</v>
      </c>
      <c r="M40" s="44">
        <v>2.9249999999999998</v>
      </c>
      <c r="N40" s="44">
        <v>2.9249999999999998</v>
      </c>
      <c r="O40" s="45">
        <v>2.9249999999999998</v>
      </c>
      <c r="P40" s="45">
        <v>2.9249999999999998</v>
      </c>
      <c r="Q40" s="45">
        <v>2.9249999999999998</v>
      </c>
      <c r="R40" s="45">
        <v>2.9249999999999998</v>
      </c>
      <c r="S40" s="46">
        <v>1.381</v>
      </c>
      <c r="T40" s="47">
        <f t="shared" si="46"/>
        <v>0.47213675213675216</v>
      </c>
      <c r="U40" s="46">
        <v>1.52</v>
      </c>
      <c r="V40" s="47">
        <f t="shared" si="47"/>
        <v>0.5196581196581197</v>
      </c>
      <c r="W40" s="46">
        <v>1.52</v>
      </c>
      <c r="X40" s="47">
        <f t="shared" si="48"/>
        <v>0.5196581196581197</v>
      </c>
      <c r="Y40" s="46">
        <v>1.538</v>
      </c>
      <c r="Z40" s="47">
        <f t="shared" si="49"/>
        <v>0.52581196581196588</v>
      </c>
      <c r="AA40" s="46">
        <v>1.679</v>
      </c>
      <c r="AB40" s="47">
        <f t="shared" si="50"/>
        <v>0.57401709401709411</v>
      </c>
      <c r="AC40" s="46">
        <v>1.8340000000000001</v>
      </c>
      <c r="AD40" s="47">
        <f t="shared" si="51"/>
        <v>0.62700854700854702</v>
      </c>
      <c r="AE40" s="46">
        <v>1.9970000000000001</v>
      </c>
      <c r="AF40" s="47">
        <f t="shared" si="52"/>
        <v>0.68273504273504282</v>
      </c>
      <c r="AG40" s="46">
        <v>2.206</v>
      </c>
      <c r="AH40" s="47">
        <f t="shared" si="53"/>
        <v>0.75418803418803426</v>
      </c>
      <c r="AI40" s="46">
        <v>2.266</v>
      </c>
      <c r="AJ40" s="47">
        <f t="shared" si="54"/>
        <v>0.7747008547008547</v>
      </c>
      <c r="AK40" s="46">
        <v>2.2545000000000002</v>
      </c>
      <c r="AL40" s="47">
        <f t="shared" si="55"/>
        <v>0.77076923076923087</v>
      </c>
      <c r="AM40" s="46">
        <v>2.1637</v>
      </c>
      <c r="AN40" s="47">
        <f t="shared" si="56"/>
        <v>0.73972649572649574</v>
      </c>
      <c r="AO40" s="46">
        <v>2.0529999999999999</v>
      </c>
      <c r="AP40" s="47">
        <f t="shared" si="57"/>
        <v>0.70188034188034187</v>
      </c>
      <c r="AQ40" s="46">
        <v>1.9547000000000001</v>
      </c>
      <c r="AR40" s="47">
        <f t="shared" si="58"/>
        <v>0.6682735042735044</v>
      </c>
      <c r="AS40" s="46">
        <v>1.8396999999999999</v>
      </c>
      <c r="AT40" s="47">
        <f t="shared" si="59"/>
        <v>0.62895726495726501</v>
      </c>
      <c r="AU40" s="46">
        <v>1.7479</v>
      </c>
      <c r="AV40" s="47">
        <f t="shared" si="60"/>
        <v>0.59757264957264966</v>
      </c>
      <c r="AW40" s="46">
        <v>1.6760999999999999</v>
      </c>
      <c r="AX40" s="47">
        <f t="shared" si="61"/>
        <v>0.57302564102564102</v>
      </c>
      <c r="AY40" s="46">
        <v>1.61</v>
      </c>
      <c r="AZ40" s="47">
        <f t="shared" si="62"/>
        <v>0.55042735042735047</v>
      </c>
      <c r="BA40" s="46">
        <v>1.5146999999999999</v>
      </c>
      <c r="BB40" s="47">
        <f t="shared" si="63"/>
        <v>0.51784615384615384</v>
      </c>
      <c r="BC40" s="46">
        <v>1.4480999999999999</v>
      </c>
      <c r="BD40" s="47">
        <f t="shared" si="64"/>
        <v>0.49507692307692308</v>
      </c>
      <c r="BE40" s="46">
        <v>1.379</v>
      </c>
      <c r="BF40" s="47">
        <f t="shared" si="65"/>
        <v>0.47145299145299147</v>
      </c>
      <c r="BG40" s="46">
        <v>1.306</v>
      </c>
      <c r="BH40" s="47">
        <f t="shared" si="66"/>
        <v>0.44649572649572655</v>
      </c>
      <c r="BI40" s="46">
        <v>1.3180000000000001</v>
      </c>
      <c r="BJ40" s="47">
        <f t="shared" si="67"/>
        <v>0.45059829059829065</v>
      </c>
      <c r="BK40" s="36" t="s">
        <v>42</v>
      </c>
    </row>
    <row r="41" spans="1:64">
      <c r="A41" s="38" t="s">
        <v>98</v>
      </c>
      <c r="B41" s="38" t="s">
        <v>114</v>
      </c>
      <c r="C41" s="39">
        <v>46</v>
      </c>
      <c r="D41" s="98" t="s">
        <v>115</v>
      </c>
      <c r="E41" s="42">
        <v>1.75</v>
      </c>
      <c r="F41" s="42">
        <v>1.75</v>
      </c>
      <c r="G41" s="42">
        <v>1.75</v>
      </c>
      <c r="H41" s="42">
        <v>1.75</v>
      </c>
      <c r="I41" s="42">
        <v>1.75</v>
      </c>
      <c r="J41" s="42">
        <v>1.75</v>
      </c>
      <c r="K41" s="42">
        <v>1.75</v>
      </c>
      <c r="L41" s="43">
        <v>1.75</v>
      </c>
      <c r="M41" s="44">
        <v>1.75</v>
      </c>
      <c r="N41" s="44">
        <v>1.67</v>
      </c>
      <c r="O41" s="45">
        <v>1.67</v>
      </c>
      <c r="P41" s="45">
        <v>1.67</v>
      </c>
      <c r="Q41" s="45">
        <v>1.67</v>
      </c>
      <c r="R41" s="45">
        <v>1.67</v>
      </c>
      <c r="S41" s="46">
        <v>0.20399999999999999</v>
      </c>
      <c r="T41" s="47">
        <f t="shared" si="46"/>
        <v>0.12215568862275449</v>
      </c>
      <c r="U41" s="46">
        <v>0.88</v>
      </c>
      <c r="V41" s="47">
        <f t="shared" si="47"/>
        <v>0.52694610778443118</v>
      </c>
      <c r="W41" s="46">
        <v>0.89</v>
      </c>
      <c r="X41" s="47">
        <f t="shared" si="48"/>
        <v>0.53293413173652693</v>
      </c>
      <c r="Y41" s="46">
        <v>1.0900000000000001</v>
      </c>
      <c r="Z41" s="47">
        <f t="shared" si="49"/>
        <v>0.65269461077844315</v>
      </c>
      <c r="AA41" s="46">
        <v>1.1970000000000001</v>
      </c>
      <c r="AB41" s="47">
        <f t="shared" si="50"/>
        <v>0.71676646706586833</v>
      </c>
      <c r="AC41" s="46">
        <v>1.2450000000000001</v>
      </c>
      <c r="AD41" s="47">
        <f t="shared" si="51"/>
        <v>0.74550898203592819</v>
      </c>
      <c r="AE41" s="46">
        <v>1.2949999999999999</v>
      </c>
      <c r="AF41" s="47">
        <f t="shared" si="52"/>
        <v>0.77544910179640714</v>
      </c>
      <c r="AG41" s="46">
        <v>1.2926</v>
      </c>
      <c r="AH41" s="47">
        <f t="shared" si="53"/>
        <v>0.77401197604790417</v>
      </c>
      <c r="AI41" s="46">
        <v>1.2783</v>
      </c>
      <c r="AJ41" s="47">
        <f t="shared" si="54"/>
        <v>0.76544910179640724</v>
      </c>
      <c r="AK41" s="46">
        <v>1.2479</v>
      </c>
      <c r="AL41" s="47">
        <f t="shared" si="55"/>
        <v>0.74724550898203601</v>
      </c>
      <c r="AM41" s="46">
        <v>1.2117</v>
      </c>
      <c r="AN41" s="47">
        <f t="shared" si="56"/>
        <v>0.72556886227544914</v>
      </c>
      <c r="AO41" s="46">
        <v>1.0669999999999999</v>
      </c>
      <c r="AP41" s="47">
        <f t="shared" si="57"/>
        <v>0.63892215568862276</v>
      </c>
      <c r="AQ41" s="46">
        <v>0.93622000000000005</v>
      </c>
      <c r="AR41" s="47">
        <f t="shared" si="58"/>
        <v>0.5606107784431138</v>
      </c>
      <c r="AS41" s="46">
        <v>0.75939000000000001</v>
      </c>
      <c r="AT41" s="47">
        <f t="shared" si="59"/>
        <v>0.45472455089820363</v>
      </c>
      <c r="AU41" s="46">
        <v>0.58675999999999995</v>
      </c>
      <c r="AV41" s="47">
        <f t="shared" si="60"/>
        <v>0.35135329341317362</v>
      </c>
      <c r="AW41" s="46">
        <v>0.50941000000000003</v>
      </c>
      <c r="AX41" s="47">
        <f t="shared" si="61"/>
        <v>0.30503592814371261</v>
      </c>
      <c r="AY41" s="46">
        <v>0.49059000000000003</v>
      </c>
      <c r="AZ41" s="47">
        <f t="shared" si="62"/>
        <v>0.29376646706586829</v>
      </c>
      <c r="BA41" s="46">
        <v>0.45221</v>
      </c>
      <c r="BB41" s="47">
        <f t="shared" si="63"/>
        <v>0.27078443113772455</v>
      </c>
      <c r="BC41" s="46">
        <v>0.41550999999999999</v>
      </c>
      <c r="BD41" s="47">
        <f t="shared" si="64"/>
        <v>0.24880838323353294</v>
      </c>
      <c r="BE41" s="46">
        <v>0.40600000000000003</v>
      </c>
      <c r="BF41" s="47">
        <f t="shared" si="65"/>
        <v>0.24311377245508986</v>
      </c>
      <c r="BG41" s="46">
        <v>0.43099999999999999</v>
      </c>
      <c r="BH41" s="47">
        <f t="shared" si="66"/>
        <v>0.25808383233532933</v>
      </c>
      <c r="BI41" s="46">
        <v>1.248</v>
      </c>
      <c r="BJ41" s="47">
        <f t="shared" si="67"/>
        <v>0.74730538922155687</v>
      </c>
      <c r="BK41" s="36" t="s">
        <v>42</v>
      </c>
    </row>
    <row r="42" spans="1:64" ht="11.25" customHeight="1">
      <c r="A42" s="38" t="s">
        <v>98</v>
      </c>
      <c r="B42" s="38" t="s">
        <v>116</v>
      </c>
      <c r="C42" s="39" t="s">
        <v>117</v>
      </c>
      <c r="D42" s="98" t="s">
        <v>118</v>
      </c>
      <c r="E42" s="42"/>
      <c r="F42" s="42"/>
      <c r="G42" s="42"/>
      <c r="H42" s="42"/>
      <c r="I42" s="42"/>
      <c r="J42" s="42"/>
      <c r="K42" s="42"/>
      <c r="L42" s="43"/>
      <c r="M42" s="44"/>
      <c r="N42" s="44"/>
      <c r="O42" s="45"/>
      <c r="P42" s="45"/>
      <c r="Q42" s="45">
        <v>4.95</v>
      </c>
      <c r="R42" s="45">
        <v>4.95</v>
      </c>
      <c r="S42" s="46">
        <v>1.274</v>
      </c>
      <c r="T42" s="47">
        <f t="shared" si="46"/>
        <v>0.25737373737373737</v>
      </c>
      <c r="U42" s="46">
        <v>1.8</v>
      </c>
      <c r="V42" s="47">
        <f t="shared" si="47"/>
        <v>0.36363636363636365</v>
      </c>
      <c r="W42" s="46">
        <v>2.38</v>
      </c>
      <c r="X42" s="47">
        <f t="shared" si="48"/>
        <v>0.4808080808080808</v>
      </c>
      <c r="Y42" s="46">
        <v>2.8180000000000001</v>
      </c>
      <c r="Z42" s="47">
        <f t="shared" si="49"/>
        <v>0.5692929292929293</v>
      </c>
      <c r="AA42" s="46">
        <v>3.8690000000000002</v>
      </c>
      <c r="AB42" s="47">
        <f t="shared" si="50"/>
        <v>0.78161616161616165</v>
      </c>
      <c r="AC42" s="46">
        <v>4.9029999999999996</v>
      </c>
      <c r="AD42" s="47">
        <f t="shared" si="51"/>
        <v>0.99050505050505033</v>
      </c>
      <c r="AE42" s="46">
        <v>4.95</v>
      </c>
      <c r="AF42" s="47">
        <f t="shared" si="52"/>
        <v>1</v>
      </c>
      <c r="AG42" s="46">
        <v>4.9393000000000002</v>
      </c>
      <c r="AH42" s="47">
        <f t="shared" si="53"/>
        <v>0.99783838383838386</v>
      </c>
      <c r="AI42" s="46">
        <v>4.8670999999999998</v>
      </c>
      <c r="AJ42" s="47">
        <f t="shared" si="54"/>
        <v>0.98325252525252516</v>
      </c>
      <c r="AK42" s="46">
        <v>4.7305999999999999</v>
      </c>
      <c r="AL42" s="47">
        <f t="shared" si="55"/>
        <v>0.95567676767676768</v>
      </c>
      <c r="AM42" s="46">
        <v>4.5776000000000003</v>
      </c>
      <c r="AN42" s="47">
        <f t="shared" si="56"/>
        <v>0.92476767676767679</v>
      </c>
      <c r="AO42" s="46">
        <v>4.6390000000000002</v>
      </c>
      <c r="AP42" s="47">
        <f t="shared" si="57"/>
        <v>0.93717171717171721</v>
      </c>
      <c r="AQ42" s="46">
        <v>4.2271000000000001</v>
      </c>
      <c r="AR42" s="47">
        <f t="shared" si="58"/>
        <v>0.85395959595959592</v>
      </c>
      <c r="AS42" s="46">
        <v>4.0019999999999998</v>
      </c>
      <c r="AT42" s="47">
        <f t="shared" si="59"/>
        <v>0.80848484848484836</v>
      </c>
      <c r="AU42" s="46">
        <v>3.6604999999999999</v>
      </c>
      <c r="AV42" s="47">
        <f t="shared" si="60"/>
        <v>0.73949494949494943</v>
      </c>
      <c r="AW42" s="46">
        <v>3.4994999999999998</v>
      </c>
      <c r="AX42" s="47">
        <f t="shared" si="61"/>
        <v>0.70696969696969691</v>
      </c>
      <c r="AY42" s="46">
        <v>3.2610999999999999</v>
      </c>
      <c r="AZ42" s="47">
        <f t="shared" si="62"/>
        <v>0.65880808080808073</v>
      </c>
      <c r="BA42" s="46">
        <v>2.6291000000000002</v>
      </c>
      <c r="BB42" s="47">
        <f t="shared" si="63"/>
        <v>0.53113131313131312</v>
      </c>
      <c r="BC42" s="46">
        <v>2.1894999999999998</v>
      </c>
      <c r="BD42" s="47">
        <f t="shared" si="64"/>
        <v>0.44232323232323228</v>
      </c>
      <c r="BE42" s="46">
        <v>1.958</v>
      </c>
      <c r="BF42" s="47">
        <f t="shared" si="65"/>
        <v>0.39555555555555555</v>
      </c>
      <c r="BG42" s="46">
        <v>1.9330000000000001</v>
      </c>
      <c r="BH42" s="47">
        <f t="shared" si="66"/>
        <v>0.39050505050505052</v>
      </c>
      <c r="BI42" s="46">
        <v>2.74</v>
      </c>
      <c r="BJ42" s="47">
        <f t="shared" si="67"/>
        <v>0.55353535353535355</v>
      </c>
      <c r="BK42" s="36" t="s">
        <v>42</v>
      </c>
    </row>
    <row r="43" spans="1:64" s="73" customFormat="1" ht="13.5" customHeight="1">
      <c r="A43" s="453" t="s">
        <v>119</v>
      </c>
      <c r="B43" s="453"/>
      <c r="C43" s="122"/>
      <c r="D43" s="123"/>
      <c r="E43" s="65">
        <f t="shared" ref="E43:O43" si="68">SUM(E33:E41)</f>
        <v>64.094999999999999</v>
      </c>
      <c r="F43" s="65">
        <f t="shared" si="68"/>
        <v>64.094999999999999</v>
      </c>
      <c r="G43" s="65">
        <f t="shared" si="68"/>
        <v>64.094999999999999</v>
      </c>
      <c r="H43" s="65">
        <f t="shared" si="68"/>
        <v>64.094999999999999</v>
      </c>
      <c r="I43" s="65">
        <f t="shared" si="68"/>
        <v>64.094999999999999</v>
      </c>
      <c r="J43" s="65">
        <f t="shared" si="68"/>
        <v>64.094999999999999</v>
      </c>
      <c r="K43" s="65">
        <f t="shared" si="68"/>
        <v>64.594999999999999</v>
      </c>
      <c r="L43" s="66">
        <f t="shared" si="68"/>
        <v>64.594999999999999</v>
      </c>
      <c r="M43" s="131">
        <f t="shared" si="68"/>
        <v>64.594999999999999</v>
      </c>
      <c r="N43" s="131">
        <f t="shared" si="68"/>
        <v>64.515000000000001</v>
      </c>
      <c r="O43" s="132">
        <f t="shared" si="68"/>
        <v>64.515000000000001</v>
      </c>
      <c r="P43" s="132">
        <v>64.515000000000001</v>
      </c>
      <c r="Q43" s="132">
        <f>SUM(Q33:Q42)</f>
        <v>69.465000000000003</v>
      </c>
      <c r="R43" s="132">
        <f>SUM(R33:R42)</f>
        <v>69.465000000000003</v>
      </c>
      <c r="S43" s="69">
        <f>SUM(S33:S42)</f>
        <v>21.893000000000001</v>
      </c>
      <c r="T43" s="70">
        <f t="shared" si="46"/>
        <v>0.31516591089037643</v>
      </c>
      <c r="U43" s="69">
        <f>SUM(U33:U42)</f>
        <v>37.270000000000003</v>
      </c>
      <c r="V43" s="70">
        <f t="shared" si="47"/>
        <v>0.53652918736054134</v>
      </c>
      <c r="W43" s="69">
        <f>SUM(W33:W42)</f>
        <v>40.77000000000001</v>
      </c>
      <c r="X43" s="70">
        <f t="shared" si="48"/>
        <v>0.58691427337508106</v>
      </c>
      <c r="Y43" s="69">
        <f>SUM(Y33:Y42)</f>
        <v>45.884</v>
      </c>
      <c r="Z43" s="70">
        <f t="shared" si="49"/>
        <v>0.66053408191175411</v>
      </c>
      <c r="AA43" s="69">
        <f>SUM(AA33:AA42)</f>
        <v>55.067999999999998</v>
      </c>
      <c r="AB43" s="70">
        <f t="shared" si="50"/>
        <v>0.79274454761390623</v>
      </c>
      <c r="AC43" s="69">
        <f>SUM(AC33:AC42)</f>
        <v>66.491</v>
      </c>
      <c r="AD43" s="70">
        <f t="shared" si="51"/>
        <v>0.95718707262650249</v>
      </c>
      <c r="AE43" s="69">
        <f>SUM(AE33:AE42)</f>
        <v>67.367000000000004</v>
      </c>
      <c r="AF43" s="70">
        <f t="shared" si="52"/>
        <v>0.96979773986899875</v>
      </c>
      <c r="AG43" s="69">
        <f>SUM(AG33:AG42)</f>
        <v>67.618000000000009</v>
      </c>
      <c r="AH43" s="70">
        <f t="shared" si="53"/>
        <v>0.97341107032318441</v>
      </c>
      <c r="AI43" s="69">
        <f>SUM(AI33:AI42)</f>
        <v>67.475400000000008</v>
      </c>
      <c r="AJ43" s="70">
        <f t="shared" si="54"/>
        <v>0.9713582379615634</v>
      </c>
      <c r="AK43" s="69">
        <f>SUM(AK33:AK42)</f>
        <v>66.696300000000008</v>
      </c>
      <c r="AL43" s="70">
        <f t="shared" si="55"/>
        <v>0.96014251781472693</v>
      </c>
      <c r="AM43" s="69">
        <f>SUM(AM33:AM42)</f>
        <v>63.554199999999994</v>
      </c>
      <c r="AN43" s="70">
        <f t="shared" si="56"/>
        <v>0.91490966673864527</v>
      </c>
      <c r="AO43" s="69">
        <f>SUM(AO33:AO42)</f>
        <v>57.833799999999997</v>
      </c>
      <c r="AP43" s="70">
        <f t="shared" si="57"/>
        <v>0.83256028215648159</v>
      </c>
      <c r="AQ43" s="69">
        <f>SUM(AQ33:AQ42)</f>
        <v>51.698920000000001</v>
      </c>
      <c r="AR43" s="70">
        <f t="shared" si="58"/>
        <v>0.7442441517310876</v>
      </c>
      <c r="AS43" s="69">
        <f>SUM(AS33:AS42)</f>
        <v>43.965920000000004</v>
      </c>
      <c r="AT43" s="70">
        <f t="shared" si="59"/>
        <v>0.63292190311667751</v>
      </c>
      <c r="AU43" s="69">
        <f>SUM(AU33:AU42)</f>
        <v>39.59375</v>
      </c>
      <c r="AV43" s="70">
        <f t="shared" si="60"/>
        <v>0.56998128553948024</v>
      </c>
      <c r="AW43" s="69">
        <f>SUM(AW33:AW42)</f>
        <v>37.701830000000001</v>
      </c>
      <c r="AX43" s="70">
        <f t="shared" si="61"/>
        <v>0.54274569927301519</v>
      </c>
      <c r="AY43" s="69">
        <f>SUM(AY33:AY42)</f>
        <v>36.601100000000002</v>
      </c>
      <c r="AZ43" s="70">
        <f t="shared" si="62"/>
        <v>0.5268998776362197</v>
      </c>
      <c r="BA43" s="69">
        <f>SUM(BA33:BA42)</f>
        <v>34.359530000000007</v>
      </c>
      <c r="BB43" s="70">
        <f t="shared" si="63"/>
        <v>0.49463082127690211</v>
      </c>
      <c r="BC43" s="69">
        <f>SUM(BC33:BC42)</f>
        <v>32.430700000000002</v>
      </c>
      <c r="BD43" s="70">
        <f t="shared" si="64"/>
        <v>0.46686388828906644</v>
      </c>
      <c r="BE43" s="69">
        <f>SUM(BE33:BE42)</f>
        <v>30.467000000000002</v>
      </c>
      <c r="BF43" s="70">
        <f t="shared" si="65"/>
        <v>0.43859497588713742</v>
      </c>
      <c r="BG43" s="69">
        <f>SUM(BG33:BG42)</f>
        <v>30.331000000000003</v>
      </c>
      <c r="BH43" s="70">
        <f t="shared" si="66"/>
        <v>0.43663715540200104</v>
      </c>
      <c r="BI43" s="69">
        <f>SUM(BI33:BI42)</f>
        <v>39.416999999999994</v>
      </c>
      <c r="BJ43" s="70">
        <f t="shared" si="67"/>
        <v>0.5674368386957459</v>
      </c>
      <c r="BK43" s="71"/>
      <c r="BL43" s="72"/>
    </row>
    <row r="44" spans="1:64" ht="6" customHeight="1">
      <c r="A44" s="102"/>
      <c r="B44" s="102"/>
      <c r="C44" s="103"/>
      <c r="D44" s="104"/>
      <c r="E44" s="96"/>
      <c r="F44" s="96"/>
      <c r="G44" s="96"/>
      <c r="H44" s="96"/>
      <c r="I44" s="96"/>
      <c r="J44" s="96"/>
      <c r="K44" s="96"/>
      <c r="L44" s="105"/>
      <c r="M44" s="128"/>
      <c r="N44" s="128"/>
      <c r="O44" s="129"/>
      <c r="P44" s="129"/>
      <c r="Q44" s="129"/>
      <c r="R44" s="129"/>
      <c r="S44" s="80"/>
      <c r="T44" s="81"/>
      <c r="U44" s="80"/>
      <c r="V44" s="81"/>
      <c r="W44" s="80"/>
      <c r="X44" s="81"/>
      <c r="Y44" s="80"/>
      <c r="Z44" s="81"/>
      <c r="AA44" s="80"/>
      <c r="AB44" s="81"/>
      <c r="AC44" s="80"/>
      <c r="AD44" s="81"/>
      <c r="AE44" s="80"/>
      <c r="AF44" s="81"/>
      <c r="AG44" s="80"/>
      <c r="AH44" s="81"/>
      <c r="AI44" s="80"/>
      <c r="AJ44" s="81"/>
      <c r="AK44" s="80"/>
      <c r="AL44" s="81"/>
      <c r="AM44" s="80"/>
      <c r="AN44" s="81"/>
      <c r="AO44" s="80"/>
      <c r="AP44" s="81"/>
      <c r="AQ44" s="80"/>
      <c r="AR44" s="81"/>
      <c r="AS44" s="80"/>
      <c r="AT44" s="81"/>
      <c r="AU44" s="80"/>
      <c r="AV44" s="81"/>
      <c r="AW44" s="80"/>
      <c r="AX44" s="81"/>
      <c r="AY44" s="80"/>
      <c r="AZ44" s="81"/>
      <c r="BA44" s="80"/>
      <c r="BB44" s="81"/>
      <c r="BC44" s="80"/>
      <c r="BD44" s="81"/>
      <c r="BE44" s="80"/>
      <c r="BF44" s="81"/>
      <c r="BG44" s="80"/>
      <c r="BH44" s="81"/>
      <c r="BI44" s="80"/>
      <c r="BJ44" s="81"/>
      <c r="BK44" s="82"/>
    </row>
    <row r="45" spans="1:64" s="73" customFormat="1">
      <c r="A45" s="97" t="s">
        <v>120</v>
      </c>
      <c r="B45" s="38" t="s">
        <v>121</v>
      </c>
      <c r="C45" s="39">
        <v>3</v>
      </c>
      <c r="D45" s="98" t="s">
        <v>122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3">
        <v>8.1999999999999993</v>
      </c>
      <c r="N45" s="133">
        <v>8.1999999999999993</v>
      </c>
      <c r="O45" s="134">
        <v>8.1999999999999993</v>
      </c>
      <c r="P45" s="134">
        <v>8.1999999999999993</v>
      </c>
      <c r="Q45" s="134">
        <v>8.1999999999999993</v>
      </c>
      <c r="R45" s="134">
        <v>8.1999999999999993</v>
      </c>
      <c r="S45" s="135">
        <v>4.9000000000000004</v>
      </c>
      <c r="T45" s="92">
        <f>S45/$R45</f>
        <v>0.59756097560975618</v>
      </c>
      <c r="U45" s="136"/>
      <c r="V45" s="137">
        <v>0</v>
      </c>
      <c r="W45" s="136"/>
      <c r="X45" s="137">
        <v>0</v>
      </c>
      <c r="Y45" s="114">
        <v>8.1999999999999993</v>
      </c>
      <c r="Z45" s="92">
        <f>Y45/$R45</f>
        <v>1</v>
      </c>
      <c r="AA45" s="135">
        <v>8.1999999999999993</v>
      </c>
      <c r="AB45" s="92">
        <f>AA45/$R45</f>
        <v>1</v>
      </c>
      <c r="AC45" s="135">
        <v>8.1999999999999993</v>
      </c>
      <c r="AD45" s="92">
        <f>AC45/$R45</f>
        <v>1</v>
      </c>
      <c r="AE45" s="135">
        <v>8.1999999999999993</v>
      </c>
      <c r="AF45" s="92">
        <f>AE45/$R45</f>
        <v>1</v>
      </c>
      <c r="AG45" s="135">
        <v>8.1999999999999993</v>
      </c>
      <c r="AH45" s="92">
        <f>AG45/$R45</f>
        <v>1</v>
      </c>
      <c r="AI45" s="135">
        <v>8.1999999999999993</v>
      </c>
      <c r="AJ45" s="92">
        <f>AI45/$R45</f>
        <v>1</v>
      </c>
      <c r="AK45" s="135">
        <v>8</v>
      </c>
      <c r="AL45" s="92">
        <f>AK45/$R45</f>
        <v>0.97560975609756106</v>
      </c>
      <c r="AM45" s="135">
        <v>8</v>
      </c>
      <c r="AN45" s="92">
        <f>AM45/$R45</f>
        <v>0.97560975609756106</v>
      </c>
      <c r="AO45" s="135">
        <v>7.81</v>
      </c>
      <c r="AP45" s="92">
        <f>AO45/$R45</f>
        <v>0.95243902439024397</v>
      </c>
      <c r="AQ45" s="135">
        <v>7.52</v>
      </c>
      <c r="AR45" s="92">
        <f>AQ45/$R45</f>
        <v>0.91707317073170735</v>
      </c>
      <c r="AS45" s="135">
        <v>7</v>
      </c>
      <c r="AT45" s="92">
        <f>AS45/$R45</f>
        <v>0.85365853658536595</v>
      </c>
      <c r="AU45" s="135">
        <v>6.63</v>
      </c>
      <c r="AV45" s="92">
        <f>AU45/$R45</f>
        <v>0.80853658536585371</v>
      </c>
      <c r="AW45" s="135">
        <v>6.26</v>
      </c>
      <c r="AX45" s="92">
        <f>AW45/$R45</f>
        <v>0.76341463414634148</v>
      </c>
      <c r="AY45" s="135">
        <v>6.2</v>
      </c>
      <c r="AZ45" s="92">
        <f>AY45/$R45</f>
        <v>0.75609756097560987</v>
      </c>
      <c r="BA45" s="135">
        <v>6.15</v>
      </c>
      <c r="BB45" s="92">
        <f>BA45/$R45</f>
        <v>0.75000000000000011</v>
      </c>
      <c r="BC45" s="135">
        <v>5.85</v>
      </c>
      <c r="BD45" s="92">
        <f>BC45/$R45</f>
        <v>0.71341463414634143</v>
      </c>
      <c r="BE45" s="135">
        <v>5.7</v>
      </c>
      <c r="BF45" s="92">
        <f>BE45/$R45</f>
        <v>0.69512195121951226</v>
      </c>
      <c r="BG45" s="114">
        <v>6.42</v>
      </c>
      <c r="BH45" s="92">
        <f>BG45/$R45</f>
        <v>0.78292682926829271</v>
      </c>
      <c r="BI45" s="135">
        <v>8.0399999999999991</v>
      </c>
      <c r="BJ45" s="92">
        <f>BI45/$R45</f>
        <v>0.98048780487804876</v>
      </c>
      <c r="BK45" s="138" t="s">
        <v>123</v>
      </c>
      <c r="BL45" s="12"/>
    </row>
    <row r="46" spans="1:64" ht="5.25" customHeight="1">
      <c r="A46" s="102"/>
      <c r="B46" s="102"/>
      <c r="C46" s="103"/>
      <c r="D46" s="104"/>
      <c r="E46" s="96"/>
      <c r="F46" s="96"/>
      <c r="G46" s="96"/>
      <c r="H46" s="96"/>
      <c r="I46" s="96"/>
      <c r="J46" s="96"/>
      <c r="K46" s="96"/>
      <c r="L46" s="105"/>
      <c r="M46" s="128"/>
      <c r="N46" s="128"/>
      <c r="O46" s="129"/>
      <c r="P46" s="129"/>
      <c r="Q46" s="129"/>
      <c r="R46" s="129"/>
      <c r="S46" s="80"/>
      <c r="T46" s="81"/>
      <c r="U46" s="80"/>
      <c r="V46" s="81"/>
      <c r="W46" s="80"/>
      <c r="X46" s="81"/>
      <c r="Y46" s="80"/>
      <c r="Z46" s="81"/>
      <c r="AA46" s="80"/>
      <c r="AB46" s="81"/>
      <c r="AC46" s="80"/>
      <c r="AD46" s="81"/>
      <c r="AE46" s="80"/>
      <c r="AF46" s="81"/>
      <c r="AG46" s="80"/>
      <c r="AH46" s="81"/>
      <c r="AI46" s="80"/>
      <c r="AJ46" s="81"/>
      <c r="AK46" s="80"/>
      <c r="AL46" s="81"/>
      <c r="AM46" s="80"/>
      <c r="AN46" s="81"/>
      <c r="AO46" s="80"/>
      <c r="AP46" s="81"/>
      <c r="AQ46" s="80"/>
      <c r="AR46" s="81"/>
      <c r="AS46" s="80"/>
      <c r="AT46" s="81"/>
      <c r="AU46" s="80"/>
      <c r="AV46" s="81"/>
      <c r="AW46" s="80"/>
      <c r="AX46" s="81"/>
      <c r="AY46" s="80"/>
      <c r="AZ46" s="81"/>
      <c r="BA46" s="80"/>
      <c r="BB46" s="81"/>
      <c r="BC46" s="80"/>
      <c r="BD46" s="81"/>
      <c r="BE46" s="80"/>
      <c r="BF46" s="81"/>
      <c r="BG46" s="80"/>
      <c r="BH46" s="81"/>
      <c r="BI46" s="80"/>
      <c r="BJ46" s="81"/>
      <c r="BK46" s="82"/>
    </row>
    <row r="47" spans="1:64">
      <c r="A47" s="38" t="s">
        <v>124</v>
      </c>
      <c r="B47" s="38" t="s">
        <v>125</v>
      </c>
      <c r="C47" s="39">
        <v>10</v>
      </c>
      <c r="D47" s="98" t="s">
        <v>126</v>
      </c>
      <c r="E47" s="42">
        <v>11</v>
      </c>
      <c r="F47" s="42">
        <v>11</v>
      </c>
      <c r="G47" s="42">
        <v>11</v>
      </c>
      <c r="H47" s="42">
        <v>11</v>
      </c>
      <c r="I47" s="42">
        <v>11</v>
      </c>
      <c r="J47" s="42">
        <v>11</v>
      </c>
      <c r="K47" s="42">
        <v>10.9</v>
      </c>
      <c r="L47" s="43">
        <v>10.9</v>
      </c>
      <c r="M47" s="44">
        <v>10.9</v>
      </c>
      <c r="N47" s="44">
        <v>10.9</v>
      </c>
      <c r="O47" s="45">
        <v>10.9</v>
      </c>
      <c r="P47" s="45">
        <v>10.9</v>
      </c>
      <c r="Q47" s="139">
        <v>10.9</v>
      </c>
      <c r="R47" s="139">
        <v>10.9</v>
      </c>
      <c r="S47" s="46">
        <v>3.8330000000000002</v>
      </c>
      <c r="T47" s="47">
        <f t="shared" ref="T47:T58" si="69">S47/$R47</f>
        <v>0.35165137614678899</v>
      </c>
      <c r="U47" s="46">
        <v>4.3099999999999996</v>
      </c>
      <c r="V47" s="47">
        <f t="shared" ref="V47:V58" si="70">U47/$R47</f>
        <v>0.39541284403669719</v>
      </c>
      <c r="W47" s="46">
        <v>4.43</v>
      </c>
      <c r="X47" s="47">
        <f t="shared" ref="X47:X58" si="71">W47/$R47</f>
        <v>0.40642201834862379</v>
      </c>
      <c r="Y47" s="46">
        <v>5.8936169999999999</v>
      </c>
      <c r="Z47" s="47">
        <f t="shared" ref="Z47:Z57" si="72">Y47/$R47</f>
        <v>0.54069880733944953</v>
      </c>
      <c r="AA47" s="46">
        <v>6.0265959999999996</v>
      </c>
      <c r="AB47" s="47">
        <f t="shared" ref="AB47:AB58" si="73">AA47/$R47</f>
        <v>0.55289871559633019</v>
      </c>
      <c r="AC47" s="46">
        <v>7.3250000000000002</v>
      </c>
      <c r="AD47" s="47">
        <f t="shared" ref="AD47:AD57" si="74">AC47/$R47</f>
        <v>0.67201834862385323</v>
      </c>
      <c r="AE47" s="46">
        <v>7.8650000000000002</v>
      </c>
      <c r="AF47" s="47">
        <f t="shared" ref="AF47:AF58" si="75">AE47/$R47</f>
        <v>0.72155963302752291</v>
      </c>
      <c r="AG47" s="46">
        <v>7.9024999999999999</v>
      </c>
      <c r="AH47" s="47">
        <f t="shared" ref="AH47:AH58" si="76">AG47/$R47</f>
        <v>0.72499999999999998</v>
      </c>
      <c r="AI47" s="46">
        <v>7.94</v>
      </c>
      <c r="AJ47" s="47">
        <f t="shared" ref="AJ47:AJ58" si="77">AI47/$R47</f>
        <v>0.72844036697247705</v>
      </c>
      <c r="AK47" s="46">
        <v>8.0522650000000002</v>
      </c>
      <c r="AL47" s="47">
        <f t="shared" ref="AL47:AL58" si="78">AK47/$R47</f>
        <v>0.73873990825688074</v>
      </c>
      <c r="AM47" s="46">
        <v>7.9249999999999998</v>
      </c>
      <c r="AN47" s="47">
        <f t="shared" ref="AN47:AN58" si="79">AM47/$R47</f>
        <v>0.72706422018348615</v>
      </c>
      <c r="AO47" s="46">
        <v>7.8724999999999996</v>
      </c>
      <c r="AP47" s="47">
        <f t="shared" ref="AP47:AP58" si="80">AO47/$R47</f>
        <v>0.7222477064220183</v>
      </c>
      <c r="AQ47" s="46">
        <v>7.7450000000000001</v>
      </c>
      <c r="AR47" s="47">
        <f t="shared" ref="AR47:AR57" si="81">AQ47/$R47</f>
        <v>0.7105504587155963</v>
      </c>
      <c r="AS47" s="46">
        <v>7.52</v>
      </c>
      <c r="AT47" s="47">
        <f t="shared" ref="AT47:AT58" si="82">AS47/$R47</f>
        <v>0.68990825688073387</v>
      </c>
      <c r="AU47" s="46">
        <v>6.89</v>
      </c>
      <c r="AV47" s="47">
        <f t="shared" ref="AV47:AV58" si="83">AU47/$R47</f>
        <v>0.63211009174311916</v>
      </c>
      <c r="AW47" s="46">
        <v>6.7850000000000001</v>
      </c>
      <c r="AX47" s="47">
        <f t="shared" ref="AX47:AX58" si="84">AW47/$R47</f>
        <v>0.62247706422018345</v>
      </c>
      <c r="AY47" s="46">
        <v>6.7549999999999999</v>
      </c>
      <c r="AZ47" s="47">
        <f t="shared" ref="AZ47:AZ58" si="85">AY47/$R47</f>
        <v>0.61972477064220177</v>
      </c>
      <c r="BA47" s="46">
        <v>6.3776590000000004</v>
      </c>
      <c r="BB47" s="47">
        <f t="shared" ref="BB47:BB58" si="86">BA47/$R47</f>
        <v>0.5851063302752294</v>
      </c>
      <c r="BC47" s="46">
        <v>6.1702130000000004</v>
      </c>
      <c r="BD47" s="47">
        <f t="shared" ref="BD47:BD58" si="87">BC47/$R47</f>
        <v>0.56607458715596337</v>
      </c>
      <c r="BE47" s="46">
        <v>5.9734040000000004</v>
      </c>
      <c r="BF47" s="47">
        <f t="shared" ref="BF47:BF58" si="88">BE47/$R47</f>
        <v>0.54801871559633031</v>
      </c>
      <c r="BG47" s="46">
        <v>5.9361699999999997</v>
      </c>
      <c r="BH47" s="47">
        <f t="shared" ref="BH47:BH58" si="89">BG47/$R47</f>
        <v>0.54460275229357791</v>
      </c>
      <c r="BI47" s="46">
        <v>6.3723400000000003</v>
      </c>
      <c r="BJ47" s="47">
        <f t="shared" ref="BJ47:BJ57" si="90">BI47/$R47</f>
        <v>0.5846183486238532</v>
      </c>
      <c r="BK47" s="36" t="s">
        <v>127</v>
      </c>
      <c r="BL47" s="140" t="s">
        <v>128</v>
      </c>
    </row>
    <row r="48" spans="1:64">
      <c r="A48" s="38" t="s">
        <v>124</v>
      </c>
      <c r="B48" s="38" t="s">
        <v>129</v>
      </c>
      <c r="C48" s="39">
        <v>8</v>
      </c>
      <c r="D48" s="98" t="s">
        <v>130</v>
      </c>
      <c r="E48" s="42">
        <v>18.8</v>
      </c>
      <c r="F48" s="42">
        <v>18.8</v>
      </c>
      <c r="G48" s="42">
        <v>18.8</v>
      </c>
      <c r="H48" s="42">
        <v>18.8</v>
      </c>
      <c r="I48" s="42">
        <v>18.8</v>
      </c>
      <c r="J48" s="42">
        <v>18.8</v>
      </c>
      <c r="K48" s="42">
        <v>18.8</v>
      </c>
      <c r="L48" s="43">
        <v>18.8</v>
      </c>
      <c r="M48" s="44">
        <v>18.8</v>
      </c>
      <c r="N48" s="44">
        <v>18.8</v>
      </c>
      <c r="O48" s="45">
        <v>18.8</v>
      </c>
      <c r="P48" s="45">
        <v>18.8</v>
      </c>
      <c r="Q48" s="45">
        <v>18.8</v>
      </c>
      <c r="R48" s="45">
        <v>18.8</v>
      </c>
      <c r="S48" s="46">
        <v>7.3140000000000001</v>
      </c>
      <c r="T48" s="47">
        <f t="shared" si="69"/>
        <v>0.38904255319148934</v>
      </c>
      <c r="U48" s="46">
        <v>7.44</v>
      </c>
      <c r="V48" s="47">
        <f t="shared" si="70"/>
        <v>0.39574468085106385</v>
      </c>
      <c r="W48" s="46">
        <v>7.93</v>
      </c>
      <c r="X48" s="47">
        <f t="shared" si="71"/>
        <v>0.42180851063829783</v>
      </c>
      <c r="Y48" s="46">
        <v>9.533652</v>
      </c>
      <c r="Z48" s="47">
        <f t="shared" si="72"/>
        <v>0.50710914893617021</v>
      </c>
      <c r="AA48" s="46">
        <v>11.052095</v>
      </c>
      <c r="AB48" s="47">
        <f t="shared" si="73"/>
        <v>0.58787739361702118</v>
      </c>
      <c r="AC48" s="46">
        <v>15.448807</v>
      </c>
      <c r="AD48" s="47">
        <f t="shared" si="74"/>
        <v>0.82174505319148938</v>
      </c>
      <c r="AE48" s="46">
        <v>16.851300999999999</v>
      </c>
      <c r="AF48" s="47">
        <f t="shared" si="75"/>
        <v>0.89634579787234037</v>
      </c>
      <c r="AG48" s="46">
        <v>17.500729</v>
      </c>
      <c r="AH48" s="47">
        <f t="shared" si="76"/>
        <v>0.93088984042553191</v>
      </c>
      <c r="AI48" s="46">
        <v>17.380465000000001</v>
      </c>
      <c r="AJ48" s="47">
        <f t="shared" si="77"/>
        <v>0.92449281914893622</v>
      </c>
      <c r="AK48" s="46">
        <v>17.260200000000001</v>
      </c>
      <c r="AL48" s="47">
        <f t="shared" si="78"/>
        <v>0.91809574468085109</v>
      </c>
      <c r="AM48" s="46">
        <v>16.690597</v>
      </c>
      <c r="AN48" s="47">
        <f t="shared" si="79"/>
        <v>0.88779771276595743</v>
      </c>
      <c r="AO48" s="46">
        <v>15.858176</v>
      </c>
      <c r="AP48" s="47">
        <f t="shared" si="80"/>
        <v>0.84351999999999994</v>
      </c>
      <c r="AQ48" s="46">
        <v>15.266052999999999</v>
      </c>
      <c r="AR48" s="47">
        <f t="shared" si="81"/>
        <v>0.81202409574468082</v>
      </c>
      <c r="AS48" s="46">
        <v>13.825101999999999</v>
      </c>
      <c r="AT48" s="47">
        <f t="shared" si="82"/>
        <v>0.73537776595744675</v>
      </c>
      <c r="AU48" s="46">
        <v>12.940769</v>
      </c>
      <c r="AV48" s="47">
        <f t="shared" si="83"/>
        <v>0.68833877659574461</v>
      </c>
      <c r="AW48" s="46">
        <v>12.555501</v>
      </c>
      <c r="AX48" s="47">
        <f t="shared" si="84"/>
        <v>0.66784579787234033</v>
      </c>
      <c r="AY48" s="46">
        <v>12.015333999999999</v>
      </c>
      <c r="AZ48" s="47">
        <f t="shared" si="85"/>
        <v>0.6391135106382978</v>
      </c>
      <c r="BA48" s="46">
        <v>10.929800999999999</v>
      </c>
      <c r="BB48" s="47">
        <f t="shared" si="86"/>
        <v>0.5813723936170212</v>
      </c>
      <c r="BC48" s="46">
        <v>10.392442000000001</v>
      </c>
      <c r="BD48" s="47">
        <f t="shared" si="87"/>
        <v>0.55278946808510643</v>
      </c>
      <c r="BE48" s="46">
        <v>9.5536379999999994</v>
      </c>
      <c r="BF48" s="47">
        <f t="shared" si="88"/>
        <v>0.50817223404255318</v>
      </c>
      <c r="BG48" s="46">
        <v>9.2780000000000005</v>
      </c>
      <c r="BH48" s="47">
        <f t="shared" si="89"/>
        <v>0.49351063829787234</v>
      </c>
      <c r="BI48" s="46">
        <v>8.634684</v>
      </c>
      <c r="BJ48" s="47">
        <f t="shared" si="90"/>
        <v>0.45929170212765957</v>
      </c>
      <c r="BK48" s="36" t="s">
        <v>131</v>
      </c>
    </row>
    <row r="49" spans="1:64">
      <c r="A49" s="38" t="s">
        <v>124</v>
      </c>
      <c r="B49" s="38" t="s">
        <v>132</v>
      </c>
      <c r="C49" s="39">
        <v>35</v>
      </c>
      <c r="D49" s="98" t="s">
        <v>133</v>
      </c>
      <c r="E49" s="42">
        <v>7.8</v>
      </c>
      <c r="F49" s="42">
        <v>7.8</v>
      </c>
      <c r="G49" s="42">
        <v>7.8</v>
      </c>
      <c r="H49" s="42">
        <v>7.8</v>
      </c>
      <c r="I49" s="42">
        <v>7.8</v>
      </c>
      <c r="J49" s="42">
        <v>7.8</v>
      </c>
      <c r="K49" s="42">
        <v>7.8</v>
      </c>
      <c r="L49" s="43">
        <v>7.8</v>
      </c>
      <c r="M49" s="44">
        <v>7.8</v>
      </c>
      <c r="N49" s="44">
        <v>7.8</v>
      </c>
      <c r="O49" s="45">
        <v>7.8</v>
      </c>
      <c r="P49" s="45">
        <v>7.8</v>
      </c>
      <c r="Q49" s="45">
        <v>7.8</v>
      </c>
      <c r="R49" s="45">
        <v>7.8</v>
      </c>
      <c r="S49" s="46">
        <v>3.63</v>
      </c>
      <c r="T49" s="47">
        <f t="shared" si="69"/>
        <v>0.4653846153846154</v>
      </c>
      <c r="U49" s="46">
        <v>3.25</v>
      </c>
      <c r="V49" s="47">
        <f t="shared" si="70"/>
        <v>0.41666666666666669</v>
      </c>
      <c r="W49" s="46">
        <v>2.87</v>
      </c>
      <c r="X49" s="47">
        <f t="shared" si="71"/>
        <v>0.36794871794871797</v>
      </c>
      <c r="Y49" s="46">
        <v>4.263814</v>
      </c>
      <c r="Z49" s="47">
        <f t="shared" si="72"/>
        <v>0.54664282051282054</v>
      </c>
      <c r="AA49" s="46">
        <v>4.9677629999999997</v>
      </c>
      <c r="AB49" s="47">
        <f t="shared" si="73"/>
        <v>0.6368926923076923</v>
      </c>
      <c r="AC49" s="46">
        <v>6.9479360000000003</v>
      </c>
      <c r="AD49" s="47">
        <f t="shared" si="74"/>
        <v>0.89076102564102566</v>
      </c>
      <c r="AE49" s="46">
        <v>6.7169999999999996</v>
      </c>
      <c r="AF49" s="47">
        <f t="shared" si="75"/>
        <v>0.86115384615384616</v>
      </c>
      <c r="AG49" s="46">
        <v>6.7666639999999996</v>
      </c>
      <c r="AH49" s="47">
        <f t="shared" si="76"/>
        <v>0.86752102564102562</v>
      </c>
      <c r="AI49" s="46">
        <v>6.9542320000000002</v>
      </c>
      <c r="AJ49" s="47">
        <f t="shared" si="77"/>
        <v>0.89156820512820523</v>
      </c>
      <c r="AK49" s="46">
        <v>6.9857570000000004</v>
      </c>
      <c r="AL49" s="47">
        <f t="shared" si="78"/>
        <v>0.89560987179487184</v>
      </c>
      <c r="AM49" s="46">
        <v>6.9102240000000004</v>
      </c>
      <c r="AN49" s="47">
        <f t="shared" si="79"/>
        <v>0.88592615384615392</v>
      </c>
      <c r="AO49" s="46">
        <v>6.8663629999999998</v>
      </c>
      <c r="AP49" s="47">
        <f t="shared" si="80"/>
        <v>0.88030294871794867</v>
      </c>
      <c r="AQ49" s="46">
        <v>6.810187</v>
      </c>
      <c r="AR49" s="47">
        <f t="shared" si="81"/>
        <v>0.87310089743589747</v>
      </c>
      <c r="AS49" s="46">
        <v>6.7171029999999998</v>
      </c>
      <c r="AT49" s="47">
        <f t="shared" si="82"/>
        <v>0.86116705128205129</v>
      </c>
      <c r="AU49" s="46">
        <v>6.3094760000000001</v>
      </c>
      <c r="AV49" s="47">
        <f t="shared" si="83"/>
        <v>0.8089071794871795</v>
      </c>
      <c r="AW49" s="46">
        <v>5.8458759999999996</v>
      </c>
      <c r="AX49" s="47">
        <f t="shared" si="84"/>
        <v>0.749471282051282</v>
      </c>
      <c r="AY49" s="46">
        <v>5.6636550000000003</v>
      </c>
      <c r="AZ49" s="47">
        <f t="shared" si="85"/>
        <v>0.72610961538461549</v>
      </c>
      <c r="BA49" s="46">
        <v>5.3746280000000004</v>
      </c>
      <c r="BB49" s="47">
        <f t="shared" si="86"/>
        <v>0.6890548717948719</v>
      </c>
      <c r="BC49" s="46">
        <v>5.2117829999999996</v>
      </c>
      <c r="BD49" s="47">
        <f t="shared" si="87"/>
        <v>0.66817730769230765</v>
      </c>
      <c r="BE49" s="46">
        <v>4.9520790000000003</v>
      </c>
      <c r="BF49" s="47">
        <f t="shared" si="88"/>
        <v>0.63488192307692315</v>
      </c>
      <c r="BG49" s="46">
        <v>4.8479999999999999</v>
      </c>
      <c r="BH49" s="47">
        <f t="shared" si="89"/>
        <v>0.62153846153846148</v>
      </c>
      <c r="BI49" s="46">
        <v>4.6591870000000002</v>
      </c>
      <c r="BJ49" s="47">
        <f t="shared" si="90"/>
        <v>0.59733166666666671</v>
      </c>
      <c r="BK49" s="36" t="s">
        <v>131</v>
      </c>
    </row>
    <row r="50" spans="1:64">
      <c r="A50" s="38" t="s">
        <v>124</v>
      </c>
      <c r="B50" s="38" t="s">
        <v>134</v>
      </c>
      <c r="C50" s="39">
        <v>6</v>
      </c>
      <c r="D50" s="98" t="s">
        <v>134</v>
      </c>
      <c r="E50" s="42">
        <v>3.4</v>
      </c>
      <c r="F50" s="42">
        <v>3.4</v>
      </c>
      <c r="G50" s="42">
        <v>3.4</v>
      </c>
      <c r="H50" s="42">
        <v>3.4</v>
      </c>
      <c r="I50" s="42">
        <v>3.4</v>
      </c>
      <c r="J50" s="42">
        <v>3.4</v>
      </c>
      <c r="K50" s="42">
        <v>3.4</v>
      </c>
      <c r="L50" s="43">
        <v>3.4</v>
      </c>
      <c r="M50" s="44">
        <v>3.4</v>
      </c>
      <c r="N50" s="44">
        <v>3.4</v>
      </c>
      <c r="O50" s="45">
        <v>3.4</v>
      </c>
      <c r="P50" s="45">
        <v>3.4</v>
      </c>
      <c r="Q50" s="45">
        <v>3.4</v>
      </c>
      <c r="R50" s="45">
        <v>3.4</v>
      </c>
      <c r="S50" s="46">
        <v>0.754</v>
      </c>
      <c r="T50" s="47">
        <f t="shared" si="69"/>
        <v>0.22176470588235295</v>
      </c>
      <c r="U50" s="46">
        <v>1.03</v>
      </c>
      <c r="V50" s="47">
        <f t="shared" si="70"/>
        <v>0.30294117647058827</v>
      </c>
      <c r="W50" s="46">
        <v>1.1100000000000001</v>
      </c>
      <c r="X50" s="47">
        <f t="shared" si="71"/>
        <v>0.32647058823529418</v>
      </c>
      <c r="Y50" s="46">
        <v>1.5045999999999999</v>
      </c>
      <c r="Z50" s="47">
        <f t="shared" si="72"/>
        <v>0.44252941176470589</v>
      </c>
      <c r="AA50" s="46">
        <v>1.9617</v>
      </c>
      <c r="AB50" s="47">
        <f t="shared" si="73"/>
        <v>0.57697058823529412</v>
      </c>
      <c r="AC50" s="46">
        <v>2.4055</v>
      </c>
      <c r="AD50" s="47">
        <f t="shared" si="74"/>
        <v>0.70750000000000002</v>
      </c>
      <c r="AE50" s="46">
        <v>2.46</v>
      </c>
      <c r="AF50" s="47">
        <f t="shared" si="75"/>
        <v>0.72352941176470587</v>
      </c>
      <c r="AG50" s="46">
        <v>2.569</v>
      </c>
      <c r="AH50" s="47">
        <f t="shared" si="76"/>
        <v>0.75558823529411767</v>
      </c>
      <c r="AI50" s="46">
        <v>2.7629999999999999</v>
      </c>
      <c r="AJ50" s="47">
        <f t="shared" si="77"/>
        <v>0.81264705882352939</v>
      </c>
      <c r="AK50" s="46">
        <v>2.7410000000000001</v>
      </c>
      <c r="AL50" s="47">
        <f t="shared" si="78"/>
        <v>0.80617647058823538</v>
      </c>
      <c r="AM50" s="46">
        <v>2.5339999999999998</v>
      </c>
      <c r="AN50" s="47">
        <f t="shared" si="79"/>
        <v>0.74529411764705877</v>
      </c>
      <c r="AO50" s="46">
        <v>2.3380000000000001</v>
      </c>
      <c r="AP50" s="47">
        <f t="shared" si="80"/>
        <v>0.6876470588235295</v>
      </c>
      <c r="AQ50" s="46">
        <v>1.974</v>
      </c>
      <c r="AR50" s="47">
        <f t="shared" si="81"/>
        <v>0.58058823529411763</v>
      </c>
      <c r="AS50" s="46">
        <v>1.794</v>
      </c>
      <c r="AT50" s="47">
        <f t="shared" si="82"/>
        <v>0.52764705882352947</v>
      </c>
      <c r="AU50" s="46">
        <v>1.601</v>
      </c>
      <c r="AV50" s="47">
        <f t="shared" si="83"/>
        <v>0.47088235294117647</v>
      </c>
      <c r="AW50" s="46">
        <v>1.5189999999999999</v>
      </c>
      <c r="AX50" s="47">
        <f t="shared" si="84"/>
        <v>0.44676470588235295</v>
      </c>
      <c r="AY50" s="46">
        <v>1.45</v>
      </c>
      <c r="AZ50" s="47">
        <f t="shared" si="85"/>
        <v>0.4264705882352941</v>
      </c>
      <c r="BA50" s="46">
        <v>1.4395</v>
      </c>
      <c r="BB50" s="47">
        <f t="shared" si="86"/>
        <v>0.42338235294117649</v>
      </c>
      <c r="BC50" s="46">
        <v>1.419</v>
      </c>
      <c r="BD50" s="47">
        <f t="shared" si="87"/>
        <v>0.41735294117647059</v>
      </c>
      <c r="BE50" s="46">
        <v>1.4</v>
      </c>
      <c r="BF50" s="47">
        <f t="shared" si="88"/>
        <v>0.41176470588235292</v>
      </c>
      <c r="BG50" s="46">
        <v>1.4059999999999999</v>
      </c>
      <c r="BH50" s="47">
        <f t="shared" si="89"/>
        <v>0.41352941176470587</v>
      </c>
      <c r="BI50" s="46">
        <v>1.5435000000000001</v>
      </c>
      <c r="BJ50" s="47">
        <f t="shared" si="90"/>
        <v>0.45397058823529418</v>
      </c>
      <c r="BK50" s="36" t="s">
        <v>135</v>
      </c>
      <c r="BL50" s="119"/>
    </row>
    <row r="51" spans="1:64">
      <c r="A51" s="38" t="s">
        <v>124</v>
      </c>
      <c r="B51" s="38" t="s">
        <v>136</v>
      </c>
      <c r="C51" s="39">
        <v>7</v>
      </c>
      <c r="D51" s="98" t="s">
        <v>137</v>
      </c>
      <c r="E51" s="42">
        <v>8.5</v>
      </c>
      <c r="F51" s="42">
        <v>8.5</v>
      </c>
      <c r="G51" s="42">
        <v>8.5</v>
      </c>
      <c r="H51" s="42">
        <v>8.5</v>
      </c>
      <c r="I51" s="42">
        <v>8.5</v>
      </c>
      <c r="J51" s="42">
        <v>8.5</v>
      </c>
      <c r="K51" s="42">
        <v>11.35</v>
      </c>
      <c r="L51" s="43">
        <v>11.35</v>
      </c>
      <c r="M51" s="44">
        <v>11.35</v>
      </c>
      <c r="N51" s="44">
        <v>11.35</v>
      </c>
      <c r="O51" s="45">
        <v>11.35</v>
      </c>
      <c r="P51" s="45">
        <v>11.35</v>
      </c>
      <c r="Q51" s="139">
        <v>11.35</v>
      </c>
      <c r="R51" s="139">
        <v>11.35</v>
      </c>
      <c r="S51" s="46">
        <v>11.108000000000001</v>
      </c>
      <c r="T51" s="47">
        <f t="shared" si="69"/>
        <v>0.97867841409691636</v>
      </c>
      <c r="U51" s="46">
        <v>11.02</v>
      </c>
      <c r="V51" s="47">
        <f t="shared" si="70"/>
        <v>0.97092511013215854</v>
      </c>
      <c r="W51" s="46">
        <v>11.05</v>
      </c>
      <c r="X51" s="47">
        <f t="shared" si="71"/>
        <v>0.97356828193832612</v>
      </c>
      <c r="Y51" s="46">
        <v>11.391999999999999</v>
      </c>
      <c r="Z51" s="47">
        <f t="shared" si="72"/>
        <v>1.0037004405286343</v>
      </c>
      <c r="AA51" s="46">
        <v>11.35</v>
      </c>
      <c r="AB51" s="47">
        <f t="shared" si="73"/>
        <v>1</v>
      </c>
      <c r="AC51" s="46">
        <v>11.381500000000001</v>
      </c>
      <c r="AD51" s="47">
        <f t="shared" si="74"/>
        <v>1.0027753303964759</v>
      </c>
      <c r="AE51" s="46">
        <v>11.381500000000001</v>
      </c>
      <c r="AF51" s="47">
        <f t="shared" si="75"/>
        <v>1.0027753303964759</v>
      </c>
      <c r="AG51" s="46">
        <v>11.339929</v>
      </c>
      <c r="AH51" s="47">
        <f t="shared" si="76"/>
        <v>0.99911268722466962</v>
      </c>
      <c r="AI51" s="46">
        <v>11.391999999999999</v>
      </c>
      <c r="AJ51" s="47">
        <f t="shared" si="77"/>
        <v>1.0037004405286343</v>
      </c>
      <c r="AK51" s="46">
        <v>11.309714</v>
      </c>
      <c r="AL51" s="47">
        <f t="shared" si="78"/>
        <v>0.9964505726872247</v>
      </c>
      <c r="AM51" s="46">
        <v>11.108286</v>
      </c>
      <c r="AN51" s="47">
        <f t="shared" si="79"/>
        <v>0.97870361233480174</v>
      </c>
      <c r="AO51" s="46">
        <v>10.816214</v>
      </c>
      <c r="AP51" s="47">
        <f t="shared" si="80"/>
        <v>0.95297039647577098</v>
      </c>
      <c r="AQ51" s="46">
        <v>10.081</v>
      </c>
      <c r="AR51" s="47">
        <f t="shared" si="81"/>
        <v>0.88819383259911888</v>
      </c>
      <c r="AS51" s="46">
        <v>9.5525500000000001</v>
      </c>
      <c r="AT51" s="47">
        <f t="shared" si="82"/>
        <v>0.84163436123348023</v>
      </c>
      <c r="AU51" s="46">
        <v>8.4468999999999994</v>
      </c>
      <c r="AV51" s="47">
        <f t="shared" si="83"/>
        <v>0.74422026431718058</v>
      </c>
      <c r="AW51" s="46">
        <v>7.7336499999999999</v>
      </c>
      <c r="AX51" s="47">
        <f t="shared" si="84"/>
        <v>0.6813788546255507</v>
      </c>
      <c r="AY51" s="46">
        <v>7.4173</v>
      </c>
      <c r="AZ51" s="47">
        <f t="shared" si="85"/>
        <v>0.65350660792951543</v>
      </c>
      <c r="BA51" s="46">
        <v>7.0154500000000004</v>
      </c>
      <c r="BB51" s="47">
        <f t="shared" si="86"/>
        <v>0.61810132158590314</v>
      </c>
      <c r="BC51" s="46">
        <v>6.7760499999999997</v>
      </c>
      <c r="BD51" s="47">
        <f t="shared" si="87"/>
        <v>0.59700881057268718</v>
      </c>
      <c r="BE51" s="46">
        <v>6.3325500000000003</v>
      </c>
      <c r="BF51" s="47">
        <f t="shared" si="88"/>
        <v>0.55793392070484582</v>
      </c>
      <c r="BG51" s="46">
        <v>6.2804000000000002</v>
      </c>
      <c r="BH51" s="47">
        <f t="shared" si="89"/>
        <v>0.55333920704845818</v>
      </c>
      <c r="BI51" s="46">
        <v>9.5525500000000001</v>
      </c>
      <c r="BJ51" s="47">
        <f t="shared" si="90"/>
        <v>0.84163436123348023</v>
      </c>
      <c r="BK51" s="36" t="s">
        <v>127</v>
      </c>
      <c r="BL51" s="140" t="s">
        <v>138</v>
      </c>
    </row>
    <row r="52" spans="1:64">
      <c r="A52" s="38" t="s">
        <v>124</v>
      </c>
      <c r="B52" s="38" t="s">
        <v>139</v>
      </c>
      <c r="C52" s="39">
        <v>33</v>
      </c>
      <c r="D52" s="98" t="s">
        <v>140</v>
      </c>
      <c r="E52" s="42">
        <v>6.5</v>
      </c>
      <c r="F52" s="42">
        <v>6.5</v>
      </c>
      <c r="G52" s="42">
        <v>6.5</v>
      </c>
      <c r="H52" s="42">
        <v>6.5</v>
      </c>
      <c r="I52" s="42">
        <v>6.5</v>
      </c>
      <c r="J52" s="42">
        <v>6.5</v>
      </c>
      <c r="K52" s="42">
        <v>4.8</v>
      </c>
      <c r="L52" s="43">
        <v>4.8</v>
      </c>
      <c r="M52" s="44">
        <v>4.968</v>
      </c>
      <c r="N52" s="44">
        <v>4.968</v>
      </c>
      <c r="O52" s="45">
        <v>4.968</v>
      </c>
      <c r="P52" s="45">
        <v>4.968</v>
      </c>
      <c r="Q52" s="45">
        <v>4.968</v>
      </c>
      <c r="R52" s="45">
        <v>4.968</v>
      </c>
      <c r="S52" s="46">
        <v>1.601</v>
      </c>
      <c r="T52" s="47">
        <f t="shared" si="69"/>
        <v>0.32226247987117551</v>
      </c>
      <c r="U52" s="46">
        <v>2.75</v>
      </c>
      <c r="V52" s="47">
        <f t="shared" si="70"/>
        <v>0.55354267310789051</v>
      </c>
      <c r="W52" s="46">
        <v>3.49</v>
      </c>
      <c r="X52" s="47">
        <f t="shared" si="71"/>
        <v>0.70249597423510468</v>
      </c>
      <c r="Y52" s="46">
        <v>3.69</v>
      </c>
      <c r="Z52" s="47">
        <f t="shared" si="72"/>
        <v>0.74275362318840576</v>
      </c>
      <c r="AA52" s="46">
        <v>4.1050000000000004</v>
      </c>
      <c r="AB52" s="47">
        <f t="shared" si="73"/>
        <v>0.82628824476650575</v>
      </c>
      <c r="AC52" s="46">
        <v>4.8639999999999999</v>
      </c>
      <c r="AD52" s="47">
        <f t="shared" si="74"/>
        <v>0.97906602254428343</v>
      </c>
      <c r="AE52" s="46">
        <v>4.8339999999999996</v>
      </c>
      <c r="AF52" s="47">
        <f t="shared" si="75"/>
        <v>0.97302737520128812</v>
      </c>
      <c r="AG52" s="46">
        <v>4.8339999999999996</v>
      </c>
      <c r="AH52" s="47">
        <f t="shared" si="76"/>
        <v>0.97302737520128812</v>
      </c>
      <c r="AI52" s="46">
        <v>4.6900000000000004</v>
      </c>
      <c r="AJ52" s="47">
        <f t="shared" si="77"/>
        <v>0.94404186795491152</v>
      </c>
      <c r="AK52" s="46">
        <v>4.5999999999999996</v>
      </c>
      <c r="AL52" s="47">
        <f t="shared" si="78"/>
        <v>0.92592592592592582</v>
      </c>
      <c r="AM52" s="46">
        <v>4.2279999999999998</v>
      </c>
      <c r="AN52" s="47">
        <f t="shared" si="79"/>
        <v>0.85104669887278583</v>
      </c>
      <c r="AO52" s="46">
        <v>3.7320000000000002</v>
      </c>
      <c r="AP52" s="47">
        <f t="shared" si="80"/>
        <v>0.75120772946859904</v>
      </c>
      <c r="AQ52" s="46">
        <v>3.544</v>
      </c>
      <c r="AR52" s="47">
        <f t="shared" si="81"/>
        <v>0.71336553945249603</v>
      </c>
      <c r="AS52" s="46">
        <v>3.2480000000000002</v>
      </c>
      <c r="AT52" s="47">
        <f t="shared" si="82"/>
        <v>0.65378421900161032</v>
      </c>
      <c r="AU52" s="46">
        <v>2.9740000000000002</v>
      </c>
      <c r="AV52" s="47">
        <f t="shared" si="83"/>
        <v>0.59863123993558776</v>
      </c>
      <c r="AW52" s="46">
        <v>2.5169999999999999</v>
      </c>
      <c r="AX52" s="47">
        <f t="shared" si="84"/>
        <v>0.50664251207729472</v>
      </c>
      <c r="AY52" s="46">
        <v>2.2879999999999998</v>
      </c>
      <c r="AZ52" s="47">
        <f t="shared" si="85"/>
        <v>0.46054750402576489</v>
      </c>
      <c r="BA52" s="46">
        <v>1.9750000000000001</v>
      </c>
      <c r="BB52" s="47">
        <f t="shared" si="86"/>
        <v>0.39754428341384868</v>
      </c>
      <c r="BC52" s="46">
        <v>1.792</v>
      </c>
      <c r="BD52" s="47">
        <f t="shared" si="87"/>
        <v>0.36070853462157809</v>
      </c>
      <c r="BE52" s="46">
        <v>1.542</v>
      </c>
      <c r="BF52" s="47">
        <f t="shared" si="88"/>
        <v>0.31038647342995168</v>
      </c>
      <c r="BG52" s="46">
        <v>1.04</v>
      </c>
      <c r="BH52" s="47">
        <f t="shared" si="89"/>
        <v>0.20933977455716588</v>
      </c>
      <c r="BI52" s="46">
        <v>1.1859999999999999</v>
      </c>
      <c r="BJ52" s="47">
        <f t="shared" si="90"/>
        <v>0.23872785829307566</v>
      </c>
      <c r="BK52" s="36" t="s">
        <v>141</v>
      </c>
    </row>
    <row r="53" spans="1:64">
      <c r="A53" s="38" t="s">
        <v>124</v>
      </c>
      <c r="B53" s="38" t="s">
        <v>142</v>
      </c>
      <c r="C53" s="39">
        <v>4</v>
      </c>
      <c r="D53" s="98" t="s">
        <v>143</v>
      </c>
      <c r="E53" s="42">
        <v>15</v>
      </c>
      <c r="F53" s="42">
        <v>15</v>
      </c>
      <c r="G53" s="42">
        <v>15</v>
      </c>
      <c r="H53" s="42">
        <v>15</v>
      </c>
      <c r="I53" s="42">
        <v>15</v>
      </c>
      <c r="J53" s="42">
        <v>15</v>
      </c>
      <c r="K53" s="42">
        <v>15</v>
      </c>
      <c r="L53" s="43">
        <v>15</v>
      </c>
      <c r="M53" s="44">
        <v>15</v>
      </c>
      <c r="N53" s="44">
        <v>15</v>
      </c>
      <c r="O53" s="45">
        <v>15</v>
      </c>
      <c r="P53" s="45">
        <v>15</v>
      </c>
      <c r="Q53" s="45">
        <v>15</v>
      </c>
      <c r="R53" s="45">
        <v>15</v>
      </c>
      <c r="S53" s="46">
        <v>1.42</v>
      </c>
      <c r="T53" s="47">
        <f t="shared" si="69"/>
        <v>9.4666666666666663E-2</v>
      </c>
      <c r="U53" s="46">
        <v>2.4700000000000002</v>
      </c>
      <c r="V53" s="47">
        <f t="shared" si="70"/>
        <v>0.16466666666666668</v>
      </c>
      <c r="W53" s="46">
        <v>2.82</v>
      </c>
      <c r="X53" s="47">
        <f t="shared" si="71"/>
        <v>0.188</v>
      </c>
      <c r="Y53" s="46">
        <v>6.7439999999999998</v>
      </c>
      <c r="Z53" s="47">
        <f t="shared" si="72"/>
        <v>0.4496</v>
      </c>
      <c r="AA53" s="46">
        <v>7.3929999999999998</v>
      </c>
      <c r="AB53" s="47">
        <f t="shared" si="73"/>
        <v>0.49286666666666668</v>
      </c>
      <c r="AC53" s="46">
        <v>9.0250000000000004</v>
      </c>
      <c r="AD53" s="47">
        <f t="shared" si="74"/>
        <v>0.60166666666666668</v>
      </c>
      <c r="AE53" s="46">
        <v>9.32</v>
      </c>
      <c r="AF53" s="47">
        <f t="shared" si="75"/>
        <v>0.6213333333333334</v>
      </c>
      <c r="AG53" s="46">
        <v>9.3424999999999994</v>
      </c>
      <c r="AH53" s="47">
        <f t="shared" si="76"/>
        <v>0.62283333333333324</v>
      </c>
      <c r="AI53" s="46">
        <v>9.5824999999999996</v>
      </c>
      <c r="AJ53" s="47">
        <f t="shared" si="77"/>
        <v>0.63883333333333325</v>
      </c>
      <c r="AK53" s="46">
        <v>9.5824999999999996</v>
      </c>
      <c r="AL53" s="47">
        <f t="shared" si="78"/>
        <v>0.63883333333333325</v>
      </c>
      <c r="AM53" s="46">
        <v>8.8710000000000004</v>
      </c>
      <c r="AN53" s="47">
        <f t="shared" si="79"/>
        <v>0.59140000000000004</v>
      </c>
      <c r="AO53" s="46">
        <v>8.1080000000000005</v>
      </c>
      <c r="AP53" s="47">
        <f t="shared" si="80"/>
        <v>0.54053333333333342</v>
      </c>
      <c r="AQ53" s="46">
        <v>6.14</v>
      </c>
      <c r="AR53" s="47">
        <f t="shared" si="81"/>
        <v>0.40933333333333333</v>
      </c>
      <c r="AS53" s="46">
        <v>5.42</v>
      </c>
      <c r="AT53" s="47">
        <f t="shared" si="82"/>
        <v>0.36133333333333334</v>
      </c>
      <c r="AU53" s="46">
        <v>4.218</v>
      </c>
      <c r="AV53" s="47">
        <f t="shared" si="83"/>
        <v>0.28120000000000001</v>
      </c>
      <c r="AW53" s="46">
        <v>3.91</v>
      </c>
      <c r="AX53" s="47">
        <f t="shared" si="84"/>
        <v>0.26066666666666666</v>
      </c>
      <c r="AY53" s="46">
        <v>3.6890000000000001</v>
      </c>
      <c r="AZ53" s="47">
        <f t="shared" si="85"/>
        <v>0.24593333333333334</v>
      </c>
      <c r="BA53" s="46">
        <v>3.2130000000000001</v>
      </c>
      <c r="BB53" s="47">
        <f t="shared" si="86"/>
        <v>0.2142</v>
      </c>
      <c r="BC53" s="46">
        <v>2.968</v>
      </c>
      <c r="BD53" s="47">
        <f t="shared" si="87"/>
        <v>0.19786666666666666</v>
      </c>
      <c r="BE53" s="46">
        <v>2.7014999999999998</v>
      </c>
      <c r="BF53" s="47">
        <f t="shared" si="88"/>
        <v>0.18009999999999998</v>
      </c>
      <c r="BG53" s="46">
        <v>2.6429999999999998</v>
      </c>
      <c r="BH53" s="47">
        <f t="shared" si="89"/>
        <v>0.1762</v>
      </c>
      <c r="BI53" s="46">
        <v>4.266</v>
      </c>
      <c r="BJ53" s="47">
        <f t="shared" si="90"/>
        <v>0.28439999999999999</v>
      </c>
      <c r="BK53" s="36" t="s">
        <v>127</v>
      </c>
      <c r="BL53" s="119"/>
    </row>
    <row r="54" spans="1:64">
      <c r="A54" s="38" t="s">
        <v>124</v>
      </c>
      <c r="B54" s="38" t="s">
        <v>144</v>
      </c>
      <c r="C54" s="39">
        <v>5</v>
      </c>
      <c r="D54" s="98" t="s">
        <v>144</v>
      </c>
      <c r="E54" s="42">
        <v>3.2</v>
      </c>
      <c r="F54" s="42">
        <v>3.2</v>
      </c>
      <c r="G54" s="42">
        <v>3.2</v>
      </c>
      <c r="H54" s="42">
        <v>3.2</v>
      </c>
      <c r="I54" s="42">
        <v>3.2</v>
      </c>
      <c r="J54" s="42">
        <v>3.2</v>
      </c>
      <c r="K54" s="42">
        <v>3.2</v>
      </c>
      <c r="L54" s="43">
        <v>3.2</v>
      </c>
      <c r="M54" s="44">
        <v>3.2</v>
      </c>
      <c r="N54" s="44">
        <v>3.2</v>
      </c>
      <c r="O54" s="45">
        <v>3.2</v>
      </c>
      <c r="P54" s="45">
        <v>3.2</v>
      </c>
      <c r="Q54" s="45">
        <v>3.2</v>
      </c>
      <c r="R54" s="45">
        <v>3.2</v>
      </c>
      <c r="S54" s="46">
        <v>1.0609999999999999</v>
      </c>
      <c r="T54" s="47">
        <f t="shared" si="69"/>
        <v>0.33156249999999998</v>
      </c>
      <c r="U54" s="46">
        <v>1.22</v>
      </c>
      <c r="V54" s="47">
        <f t="shared" si="70"/>
        <v>0.38124999999999998</v>
      </c>
      <c r="W54" s="46">
        <v>1.24</v>
      </c>
      <c r="X54" s="47">
        <f t="shared" si="71"/>
        <v>0.38749999999999996</v>
      </c>
      <c r="Y54" s="46">
        <v>1.5696000000000001</v>
      </c>
      <c r="Z54" s="47">
        <f t="shared" si="72"/>
        <v>0.49049999999999999</v>
      </c>
      <c r="AA54" s="46">
        <v>1.8585</v>
      </c>
      <c r="AB54" s="47">
        <f t="shared" si="73"/>
        <v>0.58078125000000003</v>
      </c>
      <c r="AC54" s="46">
        <v>2.0289999999999999</v>
      </c>
      <c r="AD54" s="47">
        <f t="shared" si="74"/>
        <v>0.63406249999999997</v>
      </c>
      <c r="AE54" s="46">
        <v>2.02</v>
      </c>
      <c r="AF54" s="47">
        <f t="shared" si="75"/>
        <v>0.63124999999999998</v>
      </c>
      <c r="AG54" s="46">
        <v>2.0190000000000001</v>
      </c>
      <c r="AH54" s="47">
        <f t="shared" si="76"/>
        <v>0.63093750000000004</v>
      </c>
      <c r="AI54" s="46">
        <v>2.085</v>
      </c>
      <c r="AJ54" s="47">
        <f t="shared" si="77"/>
        <v>0.65156249999999993</v>
      </c>
      <c r="AK54" s="46">
        <v>2.0545</v>
      </c>
      <c r="AL54" s="47">
        <f t="shared" si="78"/>
        <v>0.64203124999999994</v>
      </c>
      <c r="AM54" s="46">
        <v>1.92</v>
      </c>
      <c r="AN54" s="47">
        <f t="shared" si="79"/>
        <v>0.6</v>
      </c>
      <c r="AO54" s="46">
        <v>1.8394999999999999</v>
      </c>
      <c r="AP54" s="47">
        <f t="shared" si="80"/>
        <v>0.57484374999999999</v>
      </c>
      <c r="AQ54" s="46">
        <v>1.681</v>
      </c>
      <c r="AR54" s="47">
        <f t="shared" si="81"/>
        <v>0.52531249999999996</v>
      </c>
      <c r="AS54" s="46">
        <v>1.5960000000000001</v>
      </c>
      <c r="AT54" s="47">
        <f t="shared" si="82"/>
        <v>0.49875000000000003</v>
      </c>
      <c r="AU54" s="46">
        <v>1.4870000000000001</v>
      </c>
      <c r="AV54" s="47">
        <f t="shared" si="83"/>
        <v>0.46468750000000003</v>
      </c>
      <c r="AW54" s="46">
        <v>1.411</v>
      </c>
      <c r="AX54" s="47">
        <f t="shared" si="84"/>
        <v>0.44093749999999998</v>
      </c>
      <c r="AY54" s="46">
        <v>1.3540000000000001</v>
      </c>
      <c r="AZ54" s="47">
        <f t="shared" si="85"/>
        <v>0.42312500000000003</v>
      </c>
      <c r="BA54" s="46">
        <v>1.3374999999999999</v>
      </c>
      <c r="BB54" s="47">
        <f t="shared" si="86"/>
        <v>0.41796874999999994</v>
      </c>
      <c r="BC54" s="46">
        <v>1.3169999999999999</v>
      </c>
      <c r="BD54" s="47">
        <f t="shared" si="87"/>
        <v>0.41156249999999994</v>
      </c>
      <c r="BE54" s="46">
        <v>1.2775000000000001</v>
      </c>
      <c r="BF54" s="47">
        <f t="shared" si="88"/>
        <v>0.39921875000000001</v>
      </c>
      <c r="BG54" s="46">
        <v>1.2815000000000001</v>
      </c>
      <c r="BH54" s="47">
        <f t="shared" si="89"/>
        <v>0.40046874999999998</v>
      </c>
      <c r="BI54" s="46">
        <v>1.4239999999999999</v>
      </c>
      <c r="BJ54" s="47">
        <f t="shared" si="90"/>
        <v>0.44499999999999995</v>
      </c>
      <c r="BK54" s="36" t="s">
        <v>135</v>
      </c>
      <c r="BL54" s="119"/>
    </row>
    <row r="55" spans="1:64">
      <c r="A55" s="38" t="s">
        <v>124</v>
      </c>
      <c r="B55" s="38" t="s">
        <v>145</v>
      </c>
      <c r="C55" s="39" t="s">
        <v>146</v>
      </c>
      <c r="D55" s="98" t="s">
        <v>147</v>
      </c>
      <c r="E55" s="42"/>
      <c r="F55" s="42"/>
      <c r="G55" s="42"/>
      <c r="H55" s="42"/>
      <c r="I55" s="42"/>
      <c r="J55" s="42"/>
      <c r="K55" s="42"/>
      <c r="L55" s="43"/>
      <c r="M55" s="44"/>
      <c r="N55" s="44"/>
      <c r="O55" s="45"/>
      <c r="P55" s="45"/>
      <c r="Q55" s="45">
        <v>1.1579999999999999</v>
      </c>
      <c r="R55" s="45">
        <v>1.1579999999999999</v>
      </c>
      <c r="S55" s="46">
        <v>7.0000000000000007E-2</v>
      </c>
      <c r="T55" s="47">
        <f t="shared" si="69"/>
        <v>6.0449050086355795E-2</v>
      </c>
      <c r="U55" s="46">
        <v>0.2</v>
      </c>
      <c r="V55" s="47">
        <f t="shared" si="70"/>
        <v>0.17271157167530227</v>
      </c>
      <c r="W55" s="46">
        <v>0.26</v>
      </c>
      <c r="X55" s="47">
        <f t="shared" si="71"/>
        <v>0.22452504317789293</v>
      </c>
      <c r="Y55" s="46">
        <v>0.73350000000000004</v>
      </c>
      <c r="Z55" s="47">
        <f t="shared" si="72"/>
        <v>0.63341968911917101</v>
      </c>
      <c r="AA55" s="46">
        <v>0.79</v>
      </c>
      <c r="AB55" s="47">
        <f t="shared" si="73"/>
        <v>0.682210708117444</v>
      </c>
      <c r="AC55" s="46">
        <v>0.89</v>
      </c>
      <c r="AD55" s="47">
        <f t="shared" si="74"/>
        <v>0.76856649395509502</v>
      </c>
      <c r="AE55" s="46">
        <v>0.92</v>
      </c>
      <c r="AF55" s="47">
        <f t="shared" si="75"/>
        <v>0.79447322970639045</v>
      </c>
      <c r="AG55" s="46">
        <v>1</v>
      </c>
      <c r="AH55" s="47">
        <f t="shared" si="76"/>
        <v>0.86355785837651133</v>
      </c>
      <c r="AI55" s="46">
        <v>1.07</v>
      </c>
      <c r="AJ55" s="47">
        <f t="shared" si="77"/>
        <v>0.92400690846286715</v>
      </c>
      <c r="AK55" s="46">
        <v>1.07</v>
      </c>
      <c r="AL55" s="47">
        <f t="shared" si="78"/>
        <v>0.92400690846286715</v>
      </c>
      <c r="AM55" s="46">
        <v>1.06</v>
      </c>
      <c r="AN55" s="47">
        <f t="shared" si="79"/>
        <v>0.91537132987910197</v>
      </c>
      <c r="AO55" s="46">
        <v>0.92</v>
      </c>
      <c r="AP55" s="47">
        <f t="shared" si="80"/>
        <v>0.79447322970639045</v>
      </c>
      <c r="AQ55" s="46">
        <v>0.66</v>
      </c>
      <c r="AR55" s="47">
        <f t="shared" si="81"/>
        <v>0.56994818652849744</v>
      </c>
      <c r="AS55" s="46">
        <v>0.66</v>
      </c>
      <c r="AT55" s="47">
        <f t="shared" si="82"/>
        <v>0.56994818652849744</v>
      </c>
      <c r="AU55" s="46">
        <v>0.37</v>
      </c>
      <c r="AV55" s="47">
        <f t="shared" si="83"/>
        <v>0.31951640759930916</v>
      </c>
      <c r="AW55" s="46">
        <v>0.33</v>
      </c>
      <c r="AX55" s="47">
        <f t="shared" si="84"/>
        <v>0.28497409326424872</v>
      </c>
      <c r="AY55" s="46">
        <v>0.33</v>
      </c>
      <c r="AZ55" s="47">
        <f t="shared" si="85"/>
        <v>0.28497409326424872</v>
      </c>
      <c r="BA55" s="46">
        <v>0.23</v>
      </c>
      <c r="BB55" s="47">
        <f t="shared" si="86"/>
        <v>0.19861830742659761</v>
      </c>
      <c r="BC55" s="46">
        <v>0.17</v>
      </c>
      <c r="BD55" s="47">
        <f t="shared" si="87"/>
        <v>0.14680483592400692</v>
      </c>
      <c r="BE55" s="46">
        <v>0.14000000000000001</v>
      </c>
      <c r="BF55" s="47">
        <f t="shared" si="88"/>
        <v>0.12089810017271159</v>
      </c>
      <c r="BG55" s="46">
        <v>0.16805999999999999</v>
      </c>
      <c r="BH55" s="47">
        <f t="shared" si="89"/>
        <v>0.14512953367875647</v>
      </c>
      <c r="BI55" s="46">
        <v>0.24</v>
      </c>
      <c r="BJ55" s="47">
        <f t="shared" si="90"/>
        <v>0.20725388601036271</v>
      </c>
      <c r="BK55" s="36" t="s">
        <v>148</v>
      </c>
      <c r="BL55" s="119"/>
    </row>
    <row r="56" spans="1:64">
      <c r="A56" s="38" t="s">
        <v>124</v>
      </c>
      <c r="B56" s="38" t="s">
        <v>149</v>
      </c>
      <c r="C56" s="39" t="s">
        <v>150</v>
      </c>
      <c r="D56" s="98" t="s">
        <v>149</v>
      </c>
      <c r="E56" s="42"/>
      <c r="F56" s="42"/>
      <c r="G56" s="42"/>
      <c r="H56" s="42"/>
      <c r="I56" s="42"/>
      <c r="J56" s="42"/>
      <c r="K56" s="42"/>
      <c r="L56" s="43"/>
      <c r="M56" s="44"/>
      <c r="N56" s="44"/>
      <c r="O56" s="45"/>
      <c r="P56" s="45"/>
      <c r="Q56" s="45">
        <v>0.78</v>
      </c>
      <c r="R56" s="45">
        <v>0.78</v>
      </c>
      <c r="S56" s="46">
        <v>5.7000000000000002E-2</v>
      </c>
      <c r="T56" s="47">
        <f t="shared" si="69"/>
        <v>7.3076923076923081E-2</v>
      </c>
      <c r="U56" s="46">
        <v>0.2</v>
      </c>
      <c r="V56" s="47">
        <f t="shared" si="70"/>
        <v>0.25641025641025644</v>
      </c>
      <c r="W56" s="46">
        <v>0.3</v>
      </c>
      <c r="X56" s="47">
        <f t="shared" si="71"/>
        <v>0.38461538461538458</v>
      </c>
      <c r="Y56" s="46">
        <v>0.43090000000000001</v>
      </c>
      <c r="Z56" s="47">
        <f t="shared" si="72"/>
        <v>0.55243589743589738</v>
      </c>
      <c r="AA56" s="46">
        <v>0.4738</v>
      </c>
      <c r="AB56" s="47">
        <f t="shared" si="73"/>
        <v>0.60743589743589743</v>
      </c>
      <c r="AC56" s="46">
        <v>0.6</v>
      </c>
      <c r="AD56" s="47">
        <f t="shared" si="74"/>
        <v>0.76923076923076916</v>
      </c>
      <c r="AE56" s="46">
        <v>0.65600000000000003</v>
      </c>
      <c r="AF56" s="47">
        <f t="shared" si="75"/>
        <v>0.84102564102564104</v>
      </c>
      <c r="AG56" s="46">
        <v>0.66</v>
      </c>
      <c r="AH56" s="47">
        <f t="shared" si="76"/>
        <v>0.84615384615384615</v>
      </c>
      <c r="AI56" s="46">
        <v>0.65500000000000003</v>
      </c>
      <c r="AJ56" s="47">
        <f t="shared" si="77"/>
        <v>0.83974358974358976</v>
      </c>
      <c r="AK56" s="46">
        <v>0.64649999999999996</v>
      </c>
      <c r="AL56" s="47">
        <f t="shared" si="78"/>
        <v>0.82884615384615379</v>
      </c>
      <c r="AM56" s="46">
        <v>0.57350000000000001</v>
      </c>
      <c r="AN56" s="47">
        <f t="shared" si="79"/>
        <v>0.7352564102564102</v>
      </c>
      <c r="AO56" s="46">
        <v>0.51249999999999996</v>
      </c>
      <c r="AP56" s="47">
        <f t="shared" si="80"/>
        <v>0.65705128205128194</v>
      </c>
      <c r="AQ56" s="46">
        <v>0.40150000000000002</v>
      </c>
      <c r="AR56" s="47">
        <f t="shared" si="81"/>
        <v>0.5147435897435898</v>
      </c>
      <c r="AS56" s="46">
        <v>0.35349999999999998</v>
      </c>
      <c r="AT56" s="47">
        <f t="shared" si="82"/>
        <v>0.45320512820512815</v>
      </c>
      <c r="AU56" s="46">
        <v>0.26469999999999999</v>
      </c>
      <c r="AV56" s="47">
        <f t="shared" si="83"/>
        <v>0.33935897435897433</v>
      </c>
      <c r="AW56" s="46">
        <v>0.24</v>
      </c>
      <c r="AX56" s="47">
        <f t="shared" si="84"/>
        <v>0.30769230769230765</v>
      </c>
      <c r="AY56" s="46">
        <v>0.1915</v>
      </c>
      <c r="AZ56" s="47">
        <f t="shared" si="85"/>
        <v>0.2455128205128205</v>
      </c>
      <c r="BA56" s="46">
        <v>0.16650000000000001</v>
      </c>
      <c r="BB56" s="47">
        <f t="shared" si="86"/>
        <v>0.21346153846153845</v>
      </c>
      <c r="BC56" s="46">
        <v>0.14399999999999999</v>
      </c>
      <c r="BD56" s="47">
        <f t="shared" si="87"/>
        <v>0.1846153846153846</v>
      </c>
      <c r="BE56" s="46">
        <v>9.7500000000000003E-2</v>
      </c>
      <c r="BF56" s="47">
        <f t="shared" si="88"/>
        <v>0.125</v>
      </c>
      <c r="BG56" s="46">
        <v>0.08</v>
      </c>
      <c r="BH56" s="47">
        <f t="shared" si="89"/>
        <v>0.10256410256410256</v>
      </c>
      <c r="BI56" s="46">
        <v>0.11600000000000001</v>
      </c>
      <c r="BJ56" s="47">
        <f t="shared" si="90"/>
        <v>0.14871794871794872</v>
      </c>
      <c r="BK56" s="36" t="s">
        <v>135</v>
      </c>
      <c r="BL56" s="119"/>
    </row>
    <row r="57" spans="1:64">
      <c r="A57" s="38" t="s">
        <v>124</v>
      </c>
      <c r="B57" s="38" t="s">
        <v>151</v>
      </c>
      <c r="C57" s="39" t="s">
        <v>152</v>
      </c>
      <c r="D57" s="98" t="s">
        <v>153</v>
      </c>
      <c r="E57" s="42"/>
      <c r="F57" s="42"/>
      <c r="G57" s="42"/>
      <c r="H57" s="42"/>
      <c r="I57" s="42"/>
      <c r="J57" s="42"/>
      <c r="K57" s="42"/>
      <c r="L57" s="43"/>
      <c r="M57" s="44"/>
      <c r="N57" s="44"/>
      <c r="O57" s="45"/>
      <c r="P57" s="45"/>
      <c r="Q57" s="45">
        <v>0.64100000000000001</v>
      </c>
      <c r="R57" s="45">
        <v>0.64100000000000001</v>
      </c>
      <c r="S57" s="46">
        <v>0.04</v>
      </c>
      <c r="T57" s="47">
        <f t="shared" si="69"/>
        <v>6.2402496099843996E-2</v>
      </c>
      <c r="U57" s="46">
        <v>0.19800000000000001</v>
      </c>
      <c r="V57" s="47">
        <f t="shared" si="70"/>
        <v>0.30889235569422779</v>
      </c>
      <c r="W57" s="46">
        <v>0.1</v>
      </c>
      <c r="X57" s="47">
        <f t="shared" si="71"/>
        <v>0.15600624024960999</v>
      </c>
      <c r="Y57" s="46">
        <v>0.31990000000000002</v>
      </c>
      <c r="Z57" s="47">
        <f t="shared" si="72"/>
        <v>0.49906396255850238</v>
      </c>
      <c r="AA57" s="46">
        <v>0.34389999999999998</v>
      </c>
      <c r="AB57" s="47">
        <f t="shared" si="73"/>
        <v>0.53650546021840873</v>
      </c>
      <c r="AC57" s="46">
        <v>0.3765</v>
      </c>
      <c r="AD57" s="47">
        <f t="shared" si="74"/>
        <v>0.58736349453978154</v>
      </c>
      <c r="AE57" s="46">
        <v>0.39700000000000002</v>
      </c>
      <c r="AF57" s="47">
        <f t="shared" si="75"/>
        <v>0.61934477379095165</v>
      </c>
      <c r="AG57" s="46">
        <v>0.40100000000000002</v>
      </c>
      <c r="AH57" s="47">
        <f t="shared" si="76"/>
        <v>0.62558502340093602</v>
      </c>
      <c r="AI57" s="46">
        <v>0.45900000000000002</v>
      </c>
      <c r="AJ57" s="47">
        <f t="shared" si="77"/>
        <v>0.7160686427457098</v>
      </c>
      <c r="AK57" s="46">
        <v>0.45900000000000002</v>
      </c>
      <c r="AL57" s="47">
        <f t="shared" si="78"/>
        <v>0.7160686427457098</v>
      </c>
      <c r="AM57" s="46">
        <v>0.45300000000000001</v>
      </c>
      <c r="AN57" s="47">
        <f t="shared" si="79"/>
        <v>0.70670826833073319</v>
      </c>
      <c r="AO57" s="46">
        <v>0.42280000000000001</v>
      </c>
      <c r="AP57" s="47">
        <f t="shared" si="80"/>
        <v>0.65959438377535107</v>
      </c>
      <c r="AQ57" s="46">
        <v>0.33</v>
      </c>
      <c r="AR57" s="47">
        <f t="shared" si="81"/>
        <v>0.51482059282371295</v>
      </c>
      <c r="AS57" s="46">
        <v>0.2475</v>
      </c>
      <c r="AT57" s="47">
        <f t="shared" si="82"/>
        <v>0.38611544461778469</v>
      </c>
      <c r="AU57" s="46">
        <v>0.17</v>
      </c>
      <c r="AV57" s="47">
        <f t="shared" si="83"/>
        <v>0.26521060842433697</v>
      </c>
      <c r="AW57" s="46">
        <v>0.13900000000000001</v>
      </c>
      <c r="AX57" s="47">
        <f t="shared" si="84"/>
        <v>0.21684867394695789</v>
      </c>
      <c r="AY57" s="46">
        <v>9.4500000000000001E-2</v>
      </c>
      <c r="AZ57" s="47">
        <f t="shared" si="85"/>
        <v>0.14742589703588144</v>
      </c>
      <c r="BA57" s="46">
        <v>7.6999999999999999E-2</v>
      </c>
      <c r="BB57" s="47">
        <f t="shared" si="86"/>
        <v>0.12012480499219969</v>
      </c>
      <c r="BC57" s="46">
        <v>6.0999999999999999E-2</v>
      </c>
      <c r="BD57" s="47">
        <f t="shared" si="87"/>
        <v>9.5163806552262087E-2</v>
      </c>
      <c r="BE57" s="46">
        <v>2.5999999999999999E-2</v>
      </c>
      <c r="BF57" s="47">
        <f t="shared" si="88"/>
        <v>4.056162246489859E-2</v>
      </c>
      <c r="BG57" s="46">
        <v>1.6E-2</v>
      </c>
      <c r="BH57" s="47">
        <f t="shared" si="89"/>
        <v>2.4960998439937598E-2</v>
      </c>
      <c r="BI57" s="46">
        <v>0.20499999999999999</v>
      </c>
      <c r="BJ57" s="47">
        <f t="shared" si="90"/>
        <v>0.31981279251170042</v>
      </c>
      <c r="BK57" s="36" t="s">
        <v>135</v>
      </c>
      <c r="BL57" s="119"/>
    </row>
    <row r="58" spans="1:64" s="73" customFormat="1" ht="13.5" customHeight="1">
      <c r="A58" s="453" t="s">
        <v>154</v>
      </c>
      <c r="B58" s="453"/>
      <c r="C58" s="122"/>
      <c r="D58" s="141"/>
      <c r="E58" s="65">
        <f t="shared" ref="E58:O58" si="91">SUM(E47:E54)</f>
        <v>74.2</v>
      </c>
      <c r="F58" s="65">
        <f t="shared" si="91"/>
        <v>74.2</v>
      </c>
      <c r="G58" s="65">
        <f t="shared" si="91"/>
        <v>74.2</v>
      </c>
      <c r="H58" s="65">
        <f t="shared" si="91"/>
        <v>74.2</v>
      </c>
      <c r="I58" s="65">
        <f t="shared" si="91"/>
        <v>74.2</v>
      </c>
      <c r="J58" s="65">
        <f t="shared" si="91"/>
        <v>74.2</v>
      </c>
      <c r="K58" s="65">
        <f t="shared" si="91"/>
        <v>75.25</v>
      </c>
      <c r="L58" s="66">
        <f t="shared" si="91"/>
        <v>75.25</v>
      </c>
      <c r="M58" s="67">
        <f t="shared" si="91"/>
        <v>75.418000000000006</v>
      </c>
      <c r="N58" s="67">
        <f t="shared" si="91"/>
        <v>75.418000000000006</v>
      </c>
      <c r="O58" s="68">
        <f t="shared" si="91"/>
        <v>75.418000000000006</v>
      </c>
      <c r="P58" s="68">
        <v>75.418000000000006</v>
      </c>
      <c r="Q58" s="68">
        <f>SUM(Q47:Q57)</f>
        <v>77.997000000000014</v>
      </c>
      <c r="R58" s="68">
        <f>SUM(R47:R57)</f>
        <v>77.997000000000014</v>
      </c>
      <c r="S58" s="69">
        <f>SUM(S47:S57)</f>
        <v>30.888000000000002</v>
      </c>
      <c r="T58" s="47">
        <f t="shared" si="69"/>
        <v>0.39601523135505207</v>
      </c>
      <c r="U58" s="69">
        <f>SUM(U47:U57)</f>
        <v>34.088000000000008</v>
      </c>
      <c r="V58" s="47">
        <f t="shared" si="70"/>
        <v>0.43704245035065453</v>
      </c>
      <c r="W58" s="69">
        <f>SUM(W47:W57)</f>
        <v>35.6</v>
      </c>
      <c r="X58" s="47">
        <f t="shared" si="71"/>
        <v>0.45642781132607657</v>
      </c>
      <c r="Y58" s="69">
        <f>SUM(Y47:Y57)</f>
        <v>46.075582999999995</v>
      </c>
      <c r="Z58" s="47">
        <f>Y58/($R58)</f>
        <v>0.59073532315345445</v>
      </c>
      <c r="AA58" s="69">
        <f>SUM(AA47:AA57)</f>
        <v>50.322353999999997</v>
      </c>
      <c r="AB58" s="47">
        <f t="shared" si="73"/>
        <v>0.64518319935382118</v>
      </c>
      <c r="AC58" s="69">
        <f>SUM(AC47:AC57)</f>
        <v>61.293243000000004</v>
      </c>
      <c r="AD58" s="47">
        <f>AC58/($R58)</f>
        <v>0.78584103234739788</v>
      </c>
      <c r="AE58" s="69">
        <f>SUM(AE47:AE57)</f>
        <v>63.421801000000002</v>
      </c>
      <c r="AF58" s="47">
        <f t="shared" si="75"/>
        <v>0.81313128710078586</v>
      </c>
      <c r="AG58" s="69">
        <f>SUM(AG47:AG57)</f>
        <v>64.335322000000005</v>
      </c>
      <c r="AH58" s="47">
        <f t="shared" si="76"/>
        <v>0.82484354526456138</v>
      </c>
      <c r="AI58" s="69">
        <f>SUM(AI47:AI57)</f>
        <v>64.971197000000004</v>
      </c>
      <c r="AJ58" s="47">
        <f t="shared" si="77"/>
        <v>0.83299610241419531</v>
      </c>
      <c r="AK58" s="69">
        <f>SUM(AK47:AK57)</f>
        <v>64.761436000000003</v>
      </c>
      <c r="AL58" s="47">
        <f t="shared" si="78"/>
        <v>0.83030675538802767</v>
      </c>
      <c r="AM58" s="69">
        <f>SUM(AM47:AM57)</f>
        <v>62.273607000000013</v>
      </c>
      <c r="AN58" s="47">
        <f t="shared" si="79"/>
        <v>0.79841028501096201</v>
      </c>
      <c r="AO58" s="69">
        <f>SUM(AO47:AO57)</f>
        <v>59.286053000000003</v>
      </c>
      <c r="AP58" s="47">
        <f t="shared" si="80"/>
        <v>0.76010683744246565</v>
      </c>
      <c r="AQ58" s="69">
        <f>SUM(AQ47:AQ57)</f>
        <v>54.632739999999984</v>
      </c>
      <c r="AR58" s="47">
        <f>AQ58/($R58-R52)</f>
        <v>0.74809650960577267</v>
      </c>
      <c r="AS58" s="69">
        <f>SUM(AS47:AS57)</f>
        <v>50.933754999999991</v>
      </c>
      <c r="AT58" s="47">
        <f t="shared" si="82"/>
        <v>0.65302197520417427</v>
      </c>
      <c r="AU58" s="69">
        <f>SUM(AU47:AU57)</f>
        <v>45.671844999999998</v>
      </c>
      <c r="AV58" s="47">
        <f t="shared" si="83"/>
        <v>0.58555899585881499</v>
      </c>
      <c r="AW58" s="69">
        <f>SUM(AW47:AW57)</f>
        <v>42.986027000000007</v>
      </c>
      <c r="AX58" s="47">
        <f t="shared" si="84"/>
        <v>0.55112410733746164</v>
      </c>
      <c r="AY58" s="69">
        <f>SUM(AY47:AY57)</f>
        <v>41.248288999999986</v>
      </c>
      <c r="AZ58" s="47">
        <f t="shared" si="85"/>
        <v>0.52884455812403008</v>
      </c>
      <c r="BA58" s="69">
        <f>SUM(BA47:BA57)</f>
        <v>38.136037999999992</v>
      </c>
      <c r="BB58" s="47">
        <f t="shared" si="86"/>
        <v>0.48894236957831694</v>
      </c>
      <c r="BC58" s="69">
        <f>SUM(BC47:BC57)</f>
        <v>36.421488000000004</v>
      </c>
      <c r="BD58" s="47">
        <f t="shared" si="87"/>
        <v>0.46696011385053265</v>
      </c>
      <c r="BE58" s="69">
        <f>SUM(BE47:BE57)</f>
        <v>33.996171000000004</v>
      </c>
      <c r="BF58" s="47">
        <f t="shared" si="88"/>
        <v>0.435865110196546</v>
      </c>
      <c r="BG58" s="69">
        <f>SUM(BG47:BG57)</f>
        <v>32.977129999999988</v>
      </c>
      <c r="BH58" s="47">
        <f t="shared" si="89"/>
        <v>0.42279997948639025</v>
      </c>
      <c r="BI58" s="69">
        <f>SUM(BI47:BI57)</f>
        <v>38.199261</v>
      </c>
      <c r="BJ58" s="47">
        <f>BI58/($R58)</f>
        <v>0.48975295203661673</v>
      </c>
      <c r="BK58" s="142"/>
      <c r="BL58" s="143">
        <f>BG60-BG58</f>
        <v>112.71883</v>
      </c>
    </row>
    <row r="59" spans="1:64" ht="4.5" customHeight="1">
      <c r="A59" s="144"/>
      <c r="B59" s="144"/>
      <c r="C59" s="145"/>
      <c r="D59" s="144"/>
      <c r="E59" s="104"/>
      <c r="F59" s="104"/>
      <c r="G59" s="104"/>
      <c r="H59" s="104"/>
      <c r="I59" s="104"/>
      <c r="J59" s="104"/>
      <c r="K59" s="104"/>
      <c r="L59" s="104"/>
      <c r="M59" s="146"/>
      <c r="N59" s="146"/>
      <c r="O59" s="147"/>
      <c r="P59" s="147"/>
      <c r="Q59" s="147"/>
      <c r="R59" s="147"/>
      <c r="S59" s="80"/>
      <c r="T59" s="81"/>
      <c r="U59" s="80"/>
      <c r="V59" s="81"/>
      <c r="W59" s="80"/>
      <c r="X59" s="81"/>
      <c r="Y59" s="80"/>
      <c r="Z59" s="81"/>
      <c r="AA59" s="80"/>
      <c r="AB59" s="81"/>
      <c r="AC59" s="80"/>
      <c r="AD59" s="81"/>
      <c r="AE59" s="80"/>
      <c r="AF59" s="81"/>
      <c r="AG59" s="80"/>
      <c r="AH59" s="81"/>
      <c r="AI59" s="80"/>
      <c r="AJ59" s="81"/>
      <c r="AK59" s="80"/>
      <c r="AL59" s="81"/>
      <c r="AM59" s="80"/>
      <c r="AN59" s="81"/>
      <c r="AO59" s="80"/>
      <c r="AP59" s="81"/>
      <c r="AQ59" s="80"/>
      <c r="AR59" s="81"/>
      <c r="AS59" s="80"/>
      <c r="AT59" s="81"/>
      <c r="AU59" s="80"/>
      <c r="AV59" s="81"/>
      <c r="AW59" s="80"/>
      <c r="AX59" s="81"/>
      <c r="AY59" s="80"/>
      <c r="AZ59" s="81"/>
      <c r="BA59" s="80"/>
      <c r="BB59" s="81"/>
      <c r="BC59" s="80"/>
      <c r="BD59" s="81"/>
      <c r="BE59" s="80"/>
      <c r="BF59" s="81"/>
      <c r="BG59" s="80"/>
      <c r="BH59" s="81"/>
      <c r="BI59" s="80"/>
      <c r="BJ59" s="81"/>
    </row>
    <row r="60" spans="1:64" s="73" customFormat="1" ht="13.5" customHeight="1">
      <c r="A60" s="454" t="s">
        <v>155</v>
      </c>
      <c r="B60" s="454"/>
      <c r="C60" s="148"/>
      <c r="D60" s="149"/>
      <c r="E60" s="150">
        <f t="shared" ref="E60:O60" si="92">E58+E45+E43+E31+E18+E16+E14</f>
        <v>370.32099999999997</v>
      </c>
      <c r="F60" s="151">
        <f t="shared" si="92"/>
        <v>383.86099999999999</v>
      </c>
      <c r="G60" s="151">
        <f t="shared" si="92"/>
        <v>381.1</v>
      </c>
      <c r="H60" s="151">
        <f t="shared" si="92"/>
        <v>381.1</v>
      </c>
      <c r="I60" s="151">
        <f t="shared" si="92"/>
        <v>381.1</v>
      </c>
      <c r="J60" s="151">
        <f t="shared" si="92"/>
        <v>381.1</v>
      </c>
      <c r="K60" s="151">
        <f t="shared" si="92"/>
        <v>379.62000000000006</v>
      </c>
      <c r="L60" s="152">
        <f t="shared" si="92"/>
        <v>379.62000000000006</v>
      </c>
      <c r="M60" s="89">
        <f t="shared" si="92"/>
        <v>380.32800000000009</v>
      </c>
      <c r="N60" s="89">
        <f t="shared" si="92"/>
        <v>380.19049999999999</v>
      </c>
      <c r="O60" s="90">
        <f t="shared" si="92"/>
        <v>380.76049999999998</v>
      </c>
      <c r="P60" s="90">
        <v>380.76049999999998</v>
      </c>
      <c r="Q60" s="90">
        <f>Q58+Q45+Q43+Q31+Q18+Q16+Q14</f>
        <v>389.48949999999996</v>
      </c>
      <c r="R60" s="90">
        <f>R58+R45+R43+R31+R18+R16+R14</f>
        <v>389.48949999999996</v>
      </c>
      <c r="S60" s="91">
        <f>S58+S45+S43+S31+S18+S16+S14</f>
        <v>122.79</v>
      </c>
      <c r="T60" s="92">
        <f>S60/($R60)</f>
        <v>0.31525881955739504</v>
      </c>
      <c r="U60" s="91">
        <f>U58+U45+U43+U31+U18+U16+U14</f>
        <v>164.03500000000003</v>
      </c>
      <c r="V60" s="92">
        <f>U60/($R60-$R45)</f>
        <v>0.43021116500716655</v>
      </c>
      <c r="W60" s="91">
        <f>W58+W45+W43+W31+W18+W16+W14</f>
        <v>173.84</v>
      </c>
      <c r="X60" s="92">
        <f>W60/($R60-$R45)</f>
        <v>0.45592653351324913</v>
      </c>
      <c r="Y60" s="91">
        <f>Y58+Y45+Y43+Y31+Y18+Y16+Y14</f>
        <v>217.34770199999997</v>
      </c>
      <c r="Z60" s="92">
        <f>Y60/($R60)</f>
        <v>0.55803224990660849</v>
      </c>
      <c r="AA60" s="91">
        <f>AA58+AA45+AA43+AA31+AA18+AA16+AA14</f>
        <v>248.223434</v>
      </c>
      <c r="AB60" s="92">
        <f>AA60/($R60)</f>
        <v>0.6373045589162224</v>
      </c>
      <c r="AC60" s="91">
        <f>AC58+AC45+AC43+AC31+AC18+AC16+AC14</f>
        <v>294.38077899999996</v>
      </c>
      <c r="AD60" s="92">
        <f>AC60/($R60)</f>
        <v>0.75581184858641881</v>
      </c>
      <c r="AE60" s="91">
        <f>AE58+AE45+AE43+AE31+AE18+AE16+AE14</f>
        <v>301.857303</v>
      </c>
      <c r="AF60" s="92">
        <f>AE60/($R60)</f>
        <v>0.7750075496258565</v>
      </c>
      <c r="AG60" s="91">
        <f>AG58+AG45+AG43+AG31+AG18+AG16+AG14</f>
        <v>309.183898</v>
      </c>
      <c r="AH60" s="92">
        <f>AG60/($R60)</f>
        <v>0.79381831345902787</v>
      </c>
      <c r="AI60" s="91">
        <f>AI58+AI45+AI43+AI31+AI18+AI16+AI14</f>
        <v>311.82210600000002</v>
      </c>
      <c r="AJ60" s="92">
        <f>AI60/($R60)</f>
        <v>0.80059181569721405</v>
      </c>
      <c r="AK60" s="91">
        <f>AK58+AK45+AK43+AK31+AK18+AK16+AK14</f>
        <v>308.68469000000005</v>
      </c>
      <c r="AL60" s="92">
        <f>AK60/($R60)</f>
        <v>0.79253661523609775</v>
      </c>
      <c r="AM60" s="91">
        <f>AM58+AM45+AM43+AM31+AM18+AM16+AM14</f>
        <v>294.859555</v>
      </c>
      <c r="AN60" s="92">
        <f>AM60/($R60)</f>
        <v>0.75704108839904549</v>
      </c>
      <c r="AO60" s="91">
        <f>AO58+AO45+AO43+AO31+AO18+AO16+AO14</f>
        <v>273.39022999999997</v>
      </c>
      <c r="AP60" s="92">
        <f>AO60/($R60)</f>
        <v>0.70191938421960032</v>
      </c>
      <c r="AQ60" s="91">
        <f>AQ58+AQ45+AQ43+AQ31+AQ18+AQ16+AQ14</f>
        <v>251.48141399999997</v>
      </c>
      <c r="AR60" s="92">
        <f>AQ60/($R60-R52)</f>
        <v>0.65401132056334954</v>
      </c>
      <c r="AS60" s="91">
        <f>AS58+AS45+AS43+AS31+AS18+AS16+AS14</f>
        <v>221.377723</v>
      </c>
      <c r="AT60" s="92">
        <f>AS60/($R60-R16)</f>
        <v>0.60109702557363165</v>
      </c>
      <c r="AU60" s="91">
        <f>AU58+AU45+AU43+AU31+AU18+AU16+AU14</f>
        <v>194.96677899999997</v>
      </c>
      <c r="AV60" s="92">
        <f>AU60/($R60)</f>
        <v>0.50057005131075416</v>
      </c>
      <c r="AW60" s="91">
        <f>AW58+AW45+AW43+AW31+AW18+AW16+AW14</f>
        <v>182.53969500000002</v>
      </c>
      <c r="AX60" s="92">
        <f>AW60/($R60)</f>
        <v>0.46866396911855146</v>
      </c>
      <c r="AY60" s="91">
        <f>AY58+AY45+AY43+AY31+AY18+AY16+AY14</f>
        <v>174.710948</v>
      </c>
      <c r="AZ60" s="92">
        <f>AY60/($R60)</f>
        <v>0.44856394845047176</v>
      </c>
      <c r="BA60" s="91">
        <f>BA58+BA45+BA43+BA31+BA18+BA16+BA14</f>
        <v>164.02165116000003</v>
      </c>
      <c r="BB60" s="92">
        <f>BA60/($R60)</f>
        <v>0.42111957102823067</v>
      </c>
      <c r="BC60" s="91">
        <f>BC58+BC45+BC43+BC31+BC18+BC16+BC14</f>
        <v>155.01410825000002</v>
      </c>
      <c r="BD60" s="92">
        <f>BC60/($R60)</f>
        <v>0.39799303511391204</v>
      </c>
      <c r="BE60" s="91">
        <f>BE58+BE45+BE43+BE31+BE18+BE16+BE14</f>
        <v>146.18377100000001</v>
      </c>
      <c r="BF60" s="92">
        <f>BE60/($R60)</f>
        <v>0.37532146822956719</v>
      </c>
      <c r="BG60" s="91">
        <f>BG58+BG45+BG43+BG31+BG18+BG16+BG14</f>
        <v>145.69595999999999</v>
      </c>
      <c r="BH60" s="92">
        <f>BG60/($R60)</f>
        <v>0.37406903138595521</v>
      </c>
      <c r="BI60" s="91">
        <f>BI58+BI45+BI43+BI31+BI18+BI16+BI14</f>
        <v>199.18803700000001</v>
      </c>
      <c r="BJ60" s="92">
        <f>BI60/($R60)</f>
        <v>0.51140797633825819</v>
      </c>
      <c r="BK60" s="153"/>
      <c r="BL60" s="72"/>
    </row>
    <row r="61" spans="1:64" s="154" customFormat="1" ht="27" customHeight="1">
      <c r="C61" s="155"/>
      <c r="W61" s="156">
        <f>W60-S60</f>
        <v>51.05</v>
      </c>
      <c r="AA61" s="156">
        <f>AA60-W60</f>
        <v>74.383433999999994</v>
      </c>
      <c r="AC61" s="156">
        <f>AC60-$AA$60</f>
        <v>46.157344999999964</v>
      </c>
      <c r="AE61" s="156">
        <f>AE60-$AA$60</f>
        <v>53.633869000000004</v>
      </c>
      <c r="AF61" s="156"/>
      <c r="AG61" s="156">
        <f>AG60-$AA$60</f>
        <v>60.960464000000002</v>
      </c>
      <c r="AI61" s="156">
        <f>AI60-$AA$60</f>
        <v>63.598672000000022</v>
      </c>
      <c r="AK61" s="156">
        <f>AK60-$AA$60</f>
        <v>60.461256000000049</v>
      </c>
      <c r="AL61" s="156"/>
      <c r="AM61" s="156">
        <f>AM60-$AA$60</f>
        <v>46.636121000000003</v>
      </c>
      <c r="AN61" s="156"/>
      <c r="AO61" s="156">
        <f>AO60-$AA$60</f>
        <v>25.166795999999977</v>
      </c>
      <c r="AP61" s="156"/>
      <c r="AQ61" s="156">
        <f>AQ60-$AA$60</f>
        <v>3.257979999999975</v>
      </c>
      <c r="AR61" s="156"/>
      <c r="AS61" s="156">
        <f>AS60-$AA$60</f>
        <v>-26.845710999999994</v>
      </c>
      <c r="AT61" s="156"/>
      <c r="AU61" s="156">
        <f>AU60-$AA$60</f>
        <v>-53.256655000000023</v>
      </c>
      <c r="AV61" s="156"/>
      <c r="AW61" s="156">
        <f>AW60-$AA$60</f>
        <v>-65.683738999999974</v>
      </c>
      <c r="AX61" s="156"/>
      <c r="AY61" s="156">
        <f>AY60-$AA$60</f>
        <v>-73.512485999999996</v>
      </c>
      <c r="AZ61" s="156"/>
      <c r="BA61" s="156">
        <f>BA60-$AA$60</f>
        <v>-84.201782839999964</v>
      </c>
      <c r="BB61" s="156"/>
      <c r="BC61" s="156">
        <f>BC60-$AA$60</f>
        <v>-93.209325749999977</v>
      </c>
      <c r="BD61" s="156"/>
      <c r="BE61" s="156">
        <f>BE60-$AA$60</f>
        <v>-102.03966299999999</v>
      </c>
      <c r="BF61" s="156"/>
      <c r="BG61" s="156">
        <f>BG60-$AA$60</f>
        <v>-102.52747400000001</v>
      </c>
      <c r="BH61" s="156"/>
      <c r="BI61" s="156">
        <f>BI60-$AA$60</f>
        <v>-49.035396999999989</v>
      </c>
      <c r="BJ61" s="156"/>
      <c r="BK61" s="157" t="s">
        <v>156</v>
      </c>
    </row>
    <row r="62" spans="1:64">
      <c r="A62" s="158" t="s">
        <v>157</v>
      </c>
      <c r="Y62" s="159"/>
      <c r="Z62" s="160"/>
      <c r="AA62" s="159">
        <f>AA60-AA60</f>
        <v>0</v>
      </c>
      <c r="AB62" s="160"/>
      <c r="AC62" s="159">
        <f>AA60-AC60</f>
        <v>-46.157344999999964</v>
      </c>
      <c r="AD62" s="159"/>
      <c r="AE62" s="159"/>
      <c r="AF62" s="159"/>
      <c r="AG62" s="159"/>
      <c r="AH62" s="159"/>
      <c r="AI62" s="159">
        <f>AC60-AI60</f>
        <v>-17.441327000000058</v>
      </c>
      <c r="AJ62" s="159"/>
      <c r="AO62" s="159">
        <f>AI60-AO60</f>
        <v>38.431876000000045</v>
      </c>
      <c r="AP62" s="161"/>
      <c r="AQ62" s="161"/>
      <c r="AR62" s="161"/>
      <c r="AS62" s="161"/>
      <c r="AT62" s="161"/>
      <c r="AU62" s="159">
        <f>AO60-AU60</f>
        <v>78.423451</v>
      </c>
      <c r="AV62" s="161"/>
      <c r="AW62" s="161"/>
      <c r="AX62" s="161"/>
      <c r="AY62" s="161"/>
      <c r="AZ62" s="161"/>
      <c r="BA62" s="159">
        <f>AU60-BA60</f>
        <v>30.945127839999941</v>
      </c>
      <c r="BB62" s="159"/>
      <c r="BC62" s="159"/>
      <c r="BD62" s="159"/>
      <c r="BE62" s="159"/>
      <c r="BF62" s="159"/>
      <c r="BG62" s="159">
        <f>BA60-BG60</f>
        <v>18.325691160000048</v>
      </c>
      <c r="BH62" s="159"/>
      <c r="BI62" s="159">
        <f>BG60-BI60</f>
        <v>-53.492077000000023</v>
      </c>
      <c r="BJ62" s="159"/>
      <c r="BK62" s="157" t="s">
        <v>158</v>
      </c>
    </row>
    <row r="63" spans="1:64" ht="73.5" customHeight="1">
      <c r="A63" s="162" t="s">
        <v>19</v>
      </c>
      <c r="B63" s="163" t="s">
        <v>20</v>
      </c>
      <c r="C63" s="163" t="s">
        <v>21</v>
      </c>
      <c r="D63" s="164" t="s">
        <v>22</v>
      </c>
      <c r="E63" s="165" t="s">
        <v>159</v>
      </c>
      <c r="F63" s="166" t="s">
        <v>160</v>
      </c>
      <c r="G63" s="166" t="s">
        <v>161</v>
      </c>
      <c r="H63" s="166" t="s">
        <v>162</v>
      </c>
      <c r="I63" s="166" t="s">
        <v>163</v>
      </c>
      <c r="J63" s="166" t="s">
        <v>164</v>
      </c>
      <c r="K63" s="166" t="s">
        <v>165</v>
      </c>
      <c r="L63" s="167" t="s">
        <v>166</v>
      </c>
      <c r="M63" s="168" t="s">
        <v>167</v>
      </c>
      <c r="N63" s="168" t="s">
        <v>168</v>
      </c>
      <c r="O63" s="169" t="s">
        <v>169</v>
      </c>
      <c r="P63" s="169" t="s">
        <v>170</v>
      </c>
      <c r="Q63" s="169" t="s">
        <v>171</v>
      </c>
      <c r="R63" s="169" t="s">
        <v>172</v>
      </c>
      <c r="S63" s="170"/>
      <c r="T63" s="171">
        <v>44927</v>
      </c>
      <c r="U63" s="170"/>
      <c r="V63" s="171">
        <v>44958</v>
      </c>
      <c r="W63" s="170">
        <v>44986</v>
      </c>
      <c r="X63" s="171"/>
      <c r="Y63" s="170">
        <v>45017</v>
      </c>
      <c r="Z63" s="171"/>
      <c r="AA63" s="170">
        <v>45047</v>
      </c>
      <c r="AB63" s="171"/>
      <c r="AC63" s="170">
        <v>45078</v>
      </c>
      <c r="AD63" s="171"/>
      <c r="AE63" s="170">
        <v>45087</v>
      </c>
      <c r="AF63" s="171"/>
      <c r="AG63" s="170">
        <v>45097</v>
      </c>
      <c r="AH63" s="171"/>
      <c r="AI63" s="170">
        <v>45108</v>
      </c>
      <c r="AJ63" s="171"/>
      <c r="AK63" s="170">
        <v>45117</v>
      </c>
      <c r="AL63" s="171"/>
      <c r="AM63" s="170">
        <v>45127</v>
      </c>
      <c r="AN63" s="171"/>
      <c r="AO63" s="170"/>
      <c r="AP63" s="171">
        <v>45139</v>
      </c>
      <c r="AQ63" s="170"/>
      <c r="AR63" s="171">
        <v>45148</v>
      </c>
      <c r="AS63" s="170"/>
      <c r="AT63" s="171">
        <v>45158</v>
      </c>
      <c r="AU63" s="170"/>
      <c r="AV63" s="171">
        <v>45170</v>
      </c>
      <c r="AW63" s="170"/>
      <c r="AX63" s="171">
        <v>45179</v>
      </c>
      <c r="AY63" s="170"/>
      <c r="AZ63" s="171">
        <v>45189</v>
      </c>
      <c r="BA63" s="170"/>
      <c r="BB63" s="171">
        <v>45200</v>
      </c>
      <c r="BC63" s="170"/>
      <c r="BD63" s="171">
        <v>45209</v>
      </c>
      <c r="BE63" s="170"/>
      <c r="BF63" s="171">
        <v>45219</v>
      </c>
      <c r="BG63" s="170"/>
      <c r="BH63" s="171">
        <v>45231</v>
      </c>
      <c r="BI63" s="170"/>
      <c r="BJ63" s="171">
        <v>45261</v>
      </c>
      <c r="BK63" s="172" t="s">
        <v>37</v>
      </c>
      <c r="BL63" s="173" t="s">
        <v>173</v>
      </c>
    </row>
    <row r="64" spans="1:64">
      <c r="A64" s="174" t="s">
        <v>124</v>
      </c>
      <c r="B64" s="175" t="s">
        <v>174</v>
      </c>
      <c r="C64" s="176" t="s">
        <v>175</v>
      </c>
      <c r="D64" s="177" t="s">
        <v>176</v>
      </c>
      <c r="E64" s="42"/>
      <c r="F64" s="42"/>
      <c r="G64" s="42"/>
      <c r="H64" s="42"/>
      <c r="I64" s="42"/>
      <c r="J64" s="42"/>
      <c r="K64" s="42"/>
      <c r="L64" s="43"/>
      <c r="M64" s="44"/>
      <c r="N64" s="44"/>
      <c r="O64" s="45"/>
      <c r="P64" s="178"/>
      <c r="Q64" s="178">
        <v>1.1000000000000001</v>
      </c>
      <c r="R64" s="178">
        <v>1.1000000000000001</v>
      </c>
      <c r="S64" s="179"/>
      <c r="T64" s="180"/>
      <c r="U64" s="179"/>
      <c r="V64" s="180"/>
      <c r="W64" s="179"/>
      <c r="X64" s="180"/>
      <c r="Y64" s="179"/>
      <c r="Z64" s="180"/>
      <c r="AA64" s="179"/>
      <c r="AB64" s="180"/>
      <c r="AC64" s="179"/>
      <c r="AD64" s="180"/>
      <c r="AE64" s="179"/>
      <c r="AF64" s="180"/>
      <c r="AG64" s="179"/>
      <c r="AH64" s="180"/>
      <c r="AI64" s="181">
        <v>1.1000000000000001</v>
      </c>
      <c r="AJ64" s="47">
        <f>AI64/$R64</f>
        <v>1</v>
      </c>
      <c r="AK64" s="181">
        <v>1.1000000000000001</v>
      </c>
      <c r="AL64" s="47">
        <f>AK64/$R64</f>
        <v>1</v>
      </c>
      <c r="AM64" s="181">
        <v>0.96567999999999998</v>
      </c>
      <c r="AN64" s="47">
        <f>AM64/$R64</f>
        <v>0.87789090909090906</v>
      </c>
      <c r="AO64" s="181">
        <v>0.40253699999999998</v>
      </c>
      <c r="AP64" s="47">
        <f>AO64/$R64</f>
        <v>0.3659427272727272</v>
      </c>
      <c r="AQ64" s="181">
        <v>0.40253699999999998</v>
      </c>
      <c r="AR64" s="47">
        <f>AQ64/$R64</f>
        <v>0.3659427272727272</v>
      </c>
      <c r="AS64" s="181">
        <v>0.24182600000000001</v>
      </c>
      <c r="AT64" s="47">
        <f>AS64/$R64</f>
        <v>0.21984181818181817</v>
      </c>
      <c r="AU64" s="182">
        <v>0.24537900000000001</v>
      </c>
      <c r="AV64" s="47">
        <f>AU64/$R64</f>
        <v>0.22307181818181818</v>
      </c>
      <c r="AW64" s="181">
        <v>0.34912700000000002</v>
      </c>
      <c r="AX64" s="47">
        <f>AW64/$R64</f>
        <v>0.31738818181818179</v>
      </c>
      <c r="AY64" s="181">
        <v>0.44748900000000003</v>
      </c>
      <c r="AZ64" s="47">
        <f>AY64/$R64</f>
        <v>0.40680818181818179</v>
      </c>
      <c r="BA64" s="181">
        <v>0.22062699999999999</v>
      </c>
      <c r="BB64" s="47">
        <f>BA64/$R64</f>
        <v>0.20056999999999997</v>
      </c>
      <c r="BC64" s="181">
        <v>1.6868000000000001E-2</v>
      </c>
      <c r="BD64" s="47">
        <f>BC64/$R64</f>
        <v>1.5334545454545455E-2</v>
      </c>
      <c r="BE64" s="183">
        <v>6.3705999999999999E-2</v>
      </c>
      <c r="BF64" s="47">
        <f>BE64/$R64</f>
        <v>5.7914545454545448E-2</v>
      </c>
      <c r="BG64" s="181">
        <v>0</v>
      </c>
      <c r="BH64" s="47">
        <f>BG64/$R64</f>
        <v>0</v>
      </c>
      <c r="BI64" s="179"/>
      <c r="BJ64" s="184"/>
      <c r="BK64" s="185" t="s">
        <v>177</v>
      </c>
      <c r="BL64" s="140" t="s">
        <v>178</v>
      </c>
    </row>
    <row r="65" spans="1:64" s="24" customFormat="1">
      <c r="A65" s="174" t="s">
        <v>120</v>
      </c>
      <c r="B65" s="186" t="s">
        <v>179</v>
      </c>
      <c r="C65" s="176">
        <v>37</v>
      </c>
      <c r="D65" s="177" t="s">
        <v>180</v>
      </c>
      <c r="E65" s="187">
        <v>33</v>
      </c>
      <c r="F65" s="188">
        <v>33</v>
      </c>
      <c r="G65" s="188">
        <v>33</v>
      </c>
      <c r="H65" s="188">
        <v>33</v>
      </c>
      <c r="I65" s="188">
        <v>8.9</v>
      </c>
      <c r="J65" s="188">
        <v>0</v>
      </c>
      <c r="K65" s="188">
        <v>33</v>
      </c>
      <c r="L65" s="189">
        <v>27.6</v>
      </c>
      <c r="M65" s="190">
        <v>26.4</v>
      </c>
      <c r="N65" s="190">
        <v>26.8</v>
      </c>
      <c r="O65" s="178">
        <v>33</v>
      </c>
      <c r="P65" s="178">
        <v>32.5</v>
      </c>
      <c r="Q65" s="178">
        <v>33</v>
      </c>
      <c r="R65" s="178">
        <f>MAX(suivi_droits_acquis_Entraygues!$B2:$O2, )</f>
        <v>32.954999999999998</v>
      </c>
      <c r="S65" s="179"/>
      <c r="T65" s="180"/>
      <c r="U65" s="179"/>
      <c r="V65" s="180"/>
      <c r="W65" s="179"/>
      <c r="X65" s="180"/>
      <c r="Y65" s="179"/>
      <c r="Z65" s="180"/>
      <c r="AA65" s="179"/>
      <c r="AB65" s="180"/>
      <c r="AC65" s="179"/>
      <c r="AD65" s="180"/>
      <c r="AE65" s="179"/>
      <c r="AF65" s="180"/>
      <c r="AG65" s="179"/>
      <c r="AH65" s="180"/>
      <c r="AI65" s="191">
        <f>suivi_droits_acquis_Entraygues!B4</f>
        <v>0</v>
      </c>
      <c r="AJ65" s="192"/>
      <c r="AK65" s="191">
        <f>suivi_droits_acquis_Entraygues!C4</f>
        <v>0</v>
      </c>
      <c r="AL65" s="192"/>
      <c r="AM65" s="191">
        <f>suivi_droits_acquis_Entraygues!D4</f>
        <v>8.5000000000000006E-2</v>
      </c>
      <c r="AN65" s="192">
        <v>1</v>
      </c>
      <c r="AO65" s="191">
        <f>suivi_droits_acquis_Entraygues!E4</f>
        <v>2.9590000000000001</v>
      </c>
      <c r="AP65" s="192">
        <f>AO65/3.157</f>
        <v>0.93728222996515675</v>
      </c>
      <c r="AQ65" s="191">
        <f>suivi_droits_acquis_Entraygues!F4</f>
        <v>3.9790000000000001</v>
      </c>
      <c r="AR65" s="192">
        <f>AQ65/4.261</f>
        <v>0.93381835249941325</v>
      </c>
      <c r="AS65" s="191">
        <f>suivi_droits_acquis_Entraygues!G4</f>
        <v>6.9169999999999998</v>
      </c>
      <c r="AT65" s="192">
        <f>AS65/10.254</f>
        <v>0.67456602301540858</v>
      </c>
      <c r="AU65" s="191">
        <f>suivi_droits_acquis_Entraygues!H4</f>
        <v>8.4719999999999995</v>
      </c>
      <c r="AV65" s="192">
        <f>AU65/19.007</f>
        <v>0.44573052033461352</v>
      </c>
      <c r="AW65" s="191">
        <f>suivi_droits_acquis_Entraygues!I4</f>
        <v>10.027000000000001</v>
      </c>
      <c r="AX65" s="192">
        <f>AW65/24.748</f>
        <v>0.40516405366090191</v>
      </c>
      <c r="AY65" s="191">
        <f>suivi_droits_acquis_Entraygues!J4</f>
        <v>11.117000000000001</v>
      </c>
      <c r="AZ65" s="192">
        <f>AY65/$R$65</f>
        <v>0.33733879532696104</v>
      </c>
      <c r="BA65" s="191">
        <f>suivi_droits_acquis_Entraygues!K4</f>
        <v>13.854999999999997</v>
      </c>
      <c r="BB65" s="192">
        <f>BA65/$R$65</f>
        <v>0.42042178728569252</v>
      </c>
      <c r="BC65" s="191">
        <f>suivi_droits_acquis_Entraygues!L4</f>
        <v>10.917999999999999</v>
      </c>
      <c r="BD65" s="192">
        <f>BC65/$R$65</f>
        <v>0.33130025792747686</v>
      </c>
      <c r="BE65" s="191">
        <f>suivi_droits_acquis_Entraygues!M4</f>
        <v>4.1789999999999985</v>
      </c>
      <c r="BF65" s="192">
        <f>BE65/$R$65</f>
        <v>0.126809285389167</v>
      </c>
      <c r="BG65" s="191">
        <f>suivi_droits_acquis_Entraygues!N4</f>
        <v>1.2409999999999997</v>
      </c>
      <c r="BH65" s="193">
        <f>BG65/$R65</f>
        <v>3.7657411621908658E-2</v>
      </c>
      <c r="BI65" s="179"/>
      <c r="BJ65" s="184"/>
      <c r="BK65" s="194" t="s">
        <v>181</v>
      </c>
      <c r="BL65" s="140" t="s">
        <v>182</v>
      </c>
    </row>
    <row r="66" spans="1:64" s="24" customFormat="1" ht="25.5">
      <c r="A66" s="195" t="s">
        <v>183</v>
      </c>
      <c r="B66" s="196" t="s">
        <v>184</v>
      </c>
      <c r="C66" s="197">
        <v>40</v>
      </c>
      <c r="D66" s="198" t="s">
        <v>185</v>
      </c>
      <c r="E66" s="199">
        <v>19</v>
      </c>
      <c r="F66" s="200">
        <v>34</v>
      </c>
      <c r="G66" s="200">
        <v>34</v>
      </c>
      <c r="H66" s="200">
        <v>34</v>
      </c>
      <c r="I66" s="200">
        <v>34</v>
      </c>
      <c r="J66" s="200">
        <v>34</v>
      </c>
      <c r="K66" s="200">
        <v>34</v>
      </c>
      <c r="L66" s="201">
        <v>34</v>
      </c>
      <c r="M66" s="202">
        <v>34</v>
      </c>
      <c r="N66" s="202">
        <v>20</v>
      </c>
      <c r="O66" s="203">
        <v>20</v>
      </c>
      <c r="P66" s="178">
        <v>22.5</v>
      </c>
      <c r="Q66" s="203">
        <f>2.5+20</f>
        <v>22.5</v>
      </c>
      <c r="R66" s="203">
        <f>2.5+20</f>
        <v>22.5</v>
      </c>
      <c r="S66" s="179"/>
      <c r="T66" s="180"/>
      <c r="U66" s="179"/>
      <c r="V66" s="180"/>
      <c r="W66" s="179"/>
      <c r="X66" s="180"/>
      <c r="Y66" s="179"/>
      <c r="Z66" s="180"/>
      <c r="AA66" s="179"/>
      <c r="AB66" s="180"/>
      <c r="AC66" s="179"/>
      <c r="AD66" s="180"/>
      <c r="AE66" s="179"/>
      <c r="AF66" s="180"/>
      <c r="AG66" s="179"/>
      <c r="AH66" s="180"/>
      <c r="AI66" s="178">
        <f>2.5+20</f>
        <v>22.5</v>
      </c>
      <c r="AJ66" s="204">
        <f>AI66/$R$66</f>
        <v>1</v>
      </c>
      <c r="AK66" s="178">
        <f>2.5+20</f>
        <v>22.5</v>
      </c>
      <c r="AL66" s="204">
        <f>AK66/$R$66</f>
        <v>1</v>
      </c>
      <c r="AM66" s="181">
        <f>18.791+2.0626</f>
        <v>20.8536</v>
      </c>
      <c r="AN66" s="204">
        <f>AM66/$R$66</f>
        <v>0.92682666666666669</v>
      </c>
      <c r="AO66" s="181">
        <f>18.791+1.8034</f>
        <v>20.5944</v>
      </c>
      <c r="AP66" s="204">
        <f>AO66/$R$66</f>
        <v>0.91530666666666671</v>
      </c>
      <c r="AQ66" s="181">
        <f>0.71764+13.07564</f>
        <v>13.793279999999999</v>
      </c>
      <c r="AR66" s="204">
        <f>AQ66/$R$66</f>
        <v>0.61303466666666662</v>
      </c>
      <c r="AS66" s="181">
        <f>8.83034+0</f>
        <v>8.8303399999999996</v>
      </c>
      <c r="AT66" s="204">
        <f>AS66/$R$66</f>
        <v>0.39245955555555556</v>
      </c>
      <c r="AU66" s="181">
        <f>5.6159</f>
        <v>5.6158999999999999</v>
      </c>
      <c r="AV66" s="204">
        <f t="shared" ref="AV66:AV71" si="93">AU66/$R66</f>
        <v>0.24959555555555554</v>
      </c>
      <c r="AW66" s="181">
        <v>4.3916199999999996</v>
      </c>
      <c r="AX66" s="204">
        <f>AW66/$R$66</f>
        <v>0.19518311111111109</v>
      </c>
      <c r="AY66" s="181">
        <v>4.0268600000000001</v>
      </c>
      <c r="AZ66" s="204">
        <f>AY66/$R$66</f>
        <v>0.17897155555555555</v>
      </c>
      <c r="BA66" s="181">
        <v>4.0268600000000001</v>
      </c>
      <c r="BB66" s="204">
        <f>BA66/$R$66</f>
        <v>0.17897155555555555</v>
      </c>
      <c r="BC66" s="181">
        <v>3.9536899999999999</v>
      </c>
      <c r="BD66" s="204">
        <f>BC66/$R$66</f>
        <v>0.17571955555555555</v>
      </c>
      <c r="BE66" s="181">
        <v>2.45933</v>
      </c>
      <c r="BF66" s="204">
        <f>BE66/$R$66</f>
        <v>0.10930355555555556</v>
      </c>
      <c r="BG66" s="181">
        <v>2.45933</v>
      </c>
      <c r="BH66" s="204">
        <f>BG66/$R$66</f>
        <v>0.10930355555555556</v>
      </c>
      <c r="BI66" s="205"/>
      <c r="BJ66" s="206"/>
      <c r="BK66" s="207" t="s">
        <v>177</v>
      </c>
      <c r="BL66" s="208" t="s">
        <v>186</v>
      </c>
    </row>
    <row r="67" spans="1:64" s="24" customFormat="1">
      <c r="A67" s="195" t="s">
        <v>187</v>
      </c>
      <c r="B67" s="196" t="s">
        <v>188</v>
      </c>
      <c r="C67" s="197">
        <v>60</v>
      </c>
      <c r="D67" s="209" t="s">
        <v>189</v>
      </c>
      <c r="E67" s="199"/>
      <c r="F67" s="200"/>
      <c r="G67" s="200"/>
      <c r="H67" s="200"/>
      <c r="I67" s="200"/>
      <c r="J67" s="200"/>
      <c r="K67" s="200"/>
      <c r="L67" s="201"/>
      <c r="M67" s="202">
        <v>5</v>
      </c>
      <c r="N67" s="202">
        <v>5</v>
      </c>
      <c r="O67" s="203">
        <v>5</v>
      </c>
      <c r="P67" s="203">
        <v>5</v>
      </c>
      <c r="Q67" s="203">
        <v>5</v>
      </c>
      <c r="R67" s="203">
        <v>5</v>
      </c>
      <c r="S67" s="179"/>
      <c r="T67" s="180"/>
      <c r="U67" s="179"/>
      <c r="V67" s="180"/>
      <c r="W67" s="179"/>
      <c r="X67" s="180"/>
      <c r="Y67" s="179"/>
      <c r="Z67" s="180"/>
      <c r="AA67" s="179"/>
      <c r="AB67" s="180"/>
      <c r="AC67" s="179"/>
      <c r="AD67" s="180"/>
      <c r="AE67" s="179"/>
      <c r="AF67" s="180"/>
      <c r="AG67" s="179"/>
      <c r="AH67" s="180"/>
      <c r="AI67" s="178">
        <v>5</v>
      </c>
      <c r="AJ67" s="204">
        <f>AI67/$R$67</f>
        <v>1</v>
      </c>
      <c r="AK67" s="181">
        <v>5</v>
      </c>
      <c r="AL67" s="204">
        <f>AK67/$R$67</f>
        <v>1</v>
      </c>
      <c r="AM67" s="181">
        <v>5</v>
      </c>
      <c r="AN67" s="204">
        <f>AM67/$R$67</f>
        <v>1</v>
      </c>
      <c r="AO67" s="181">
        <v>5</v>
      </c>
      <c r="AP67" s="204">
        <f>AO67/$R$67</f>
        <v>1</v>
      </c>
      <c r="AQ67" s="181">
        <v>4.4455999999999998</v>
      </c>
      <c r="AR67" s="204">
        <f>AQ67/$R$67</f>
        <v>0.88911999999999991</v>
      </c>
      <c r="AS67" s="181">
        <v>3.7314500000000002</v>
      </c>
      <c r="AT67" s="204">
        <f>AS67/$R$67</f>
        <v>0.74629000000000001</v>
      </c>
      <c r="AU67" s="181">
        <v>2.1546500000000002</v>
      </c>
      <c r="AV67" s="204">
        <f t="shared" si="93"/>
        <v>0.43093000000000004</v>
      </c>
      <c r="AW67" s="181">
        <v>1.6709000000000001</v>
      </c>
      <c r="AX67" s="204">
        <f>AW67/$R$67</f>
        <v>0.33418000000000003</v>
      </c>
      <c r="AY67" s="181">
        <v>1.46336</v>
      </c>
      <c r="AZ67" s="204">
        <f>AY67/$R$67</f>
        <v>0.29267199999999999</v>
      </c>
      <c r="BA67" s="181">
        <v>1.46336</v>
      </c>
      <c r="BB67" s="204">
        <f>BA67/$R$67</f>
        <v>0.29267199999999999</v>
      </c>
      <c r="BC67" s="181">
        <v>1.35311</v>
      </c>
      <c r="BD67" s="204">
        <f>BC67/$R$67</f>
        <v>0.27062200000000003</v>
      </c>
      <c r="BE67" s="181">
        <v>0.81810000000000005</v>
      </c>
      <c r="BF67" s="204">
        <f>BE67/$R$67</f>
        <v>0.16362000000000002</v>
      </c>
      <c r="BG67" s="181">
        <v>0.85</v>
      </c>
      <c r="BH67" s="204">
        <f>BG67/$R$67</f>
        <v>0.16999999999999998</v>
      </c>
      <c r="BI67" s="205"/>
      <c r="BJ67" s="206"/>
      <c r="BK67" s="207" t="s">
        <v>177</v>
      </c>
      <c r="BL67" s="140" t="s">
        <v>190</v>
      </c>
    </row>
    <row r="68" spans="1:64" s="221" customFormat="1" ht="25.5">
      <c r="A68" s="195" t="s">
        <v>39</v>
      </c>
      <c r="B68" s="196" t="s">
        <v>191</v>
      </c>
      <c r="C68" s="197">
        <v>61</v>
      </c>
      <c r="D68" s="198" t="s">
        <v>192</v>
      </c>
      <c r="E68" s="199"/>
      <c r="F68" s="200"/>
      <c r="G68" s="200"/>
      <c r="H68" s="200"/>
      <c r="I68" s="200"/>
      <c r="J68" s="200"/>
      <c r="K68" s="200"/>
      <c r="L68" s="201"/>
      <c r="M68" s="202"/>
      <c r="N68" s="202"/>
      <c r="O68" s="203"/>
      <c r="P68" s="203"/>
      <c r="Q68" s="210">
        <v>2.6</v>
      </c>
      <c r="R68" s="210">
        <v>2.8</v>
      </c>
      <c r="S68" s="179"/>
      <c r="T68" s="180"/>
      <c r="U68" s="179"/>
      <c r="V68" s="180"/>
      <c r="W68" s="179"/>
      <c r="X68" s="180"/>
      <c r="Y68" s="179"/>
      <c r="Z68" s="180"/>
      <c r="AA68" s="179"/>
      <c r="AB68" s="180"/>
      <c r="AC68" s="179"/>
      <c r="AD68" s="180"/>
      <c r="AE68" s="211"/>
      <c r="AF68" s="212"/>
      <c r="AG68" s="211"/>
      <c r="AH68" s="212"/>
      <c r="AI68" s="211"/>
      <c r="AJ68" s="212"/>
      <c r="AK68" s="213"/>
      <c r="AL68" s="212"/>
      <c r="AM68" s="182">
        <v>2.8</v>
      </c>
      <c r="AN68" s="214">
        <f>AM68/$R$68</f>
        <v>1</v>
      </c>
      <c r="AO68" s="182">
        <v>2.8</v>
      </c>
      <c r="AP68" s="214">
        <f>AO68/$R$68</f>
        <v>1</v>
      </c>
      <c r="AQ68" s="182">
        <v>2.5407999999999999</v>
      </c>
      <c r="AR68" s="214">
        <f>AQ68/$R$68</f>
        <v>0.90742857142857147</v>
      </c>
      <c r="AS68" s="182">
        <v>1.4608000000000001</v>
      </c>
      <c r="AT68" s="214">
        <f>AS68/$R$68</f>
        <v>0.5217142857142858</v>
      </c>
      <c r="AU68" s="181">
        <v>0.64405000000000001</v>
      </c>
      <c r="AV68" s="214">
        <f t="shared" si="93"/>
        <v>0.23001785714285716</v>
      </c>
      <c r="AW68" s="181">
        <v>0.64405000000000001</v>
      </c>
      <c r="AX68" s="214">
        <f>AW68/$R$68</f>
        <v>0.23001785714285716</v>
      </c>
      <c r="AY68" s="182">
        <v>0.64405000000000001</v>
      </c>
      <c r="AZ68" s="214">
        <f>AY68/$R$68</f>
        <v>0.23001785714285716</v>
      </c>
      <c r="BA68" s="215"/>
      <c r="BB68" s="216"/>
      <c r="BC68" s="217"/>
      <c r="BD68" s="216"/>
      <c r="BE68" s="215"/>
      <c r="BF68" s="216"/>
      <c r="BG68" s="215"/>
      <c r="BH68" s="216"/>
      <c r="BI68" s="215"/>
      <c r="BJ68" s="218"/>
      <c r="BK68" s="219" t="s">
        <v>193</v>
      </c>
      <c r="BL68" s="220" t="s">
        <v>194</v>
      </c>
    </row>
    <row r="69" spans="1:64" s="24" customFormat="1" ht="72" customHeight="1">
      <c r="A69" s="222" t="s">
        <v>195</v>
      </c>
      <c r="B69" s="196" t="s">
        <v>196</v>
      </c>
      <c r="C69" s="197">
        <v>36</v>
      </c>
      <c r="D69" s="198" t="s">
        <v>98</v>
      </c>
      <c r="E69" s="199"/>
      <c r="F69" s="200">
        <v>48</v>
      </c>
      <c r="G69" s="200">
        <v>48</v>
      </c>
      <c r="H69" s="200">
        <v>48</v>
      </c>
      <c r="I69" s="200">
        <v>48</v>
      </c>
      <c r="J69" s="200">
        <v>48</v>
      </c>
      <c r="K69" s="200">
        <v>48</v>
      </c>
      <c r="L69" s="201">
        <v>48</v>
      </c>
      <c r="M69" s="202">
        <v>48</v>
      </c>
      <c r="N69" s="202">
        <v>48</v>
      </c>
      <c r="O69" s="203">
        <v>48</v>
      </c>
      <c r="P69" s="203">
        <v>48</v>
      </c>
      <c r="Q69" s="203">
        <v>48</v>
      </c>
      <c r="R69" s="203">
        <v>48</v>
      </c>
      <c r="S69" s="181">
        <v>8.9049999999999994</v>
      </c>
      <c r="T69" s="204">
        <f>S69/10</f>
        <v>0.89049999999999996</v>
      </c>
      <c r="U69" s="181">
        <v>6.1</v>
      </c>
      <c r="V69" s="204">
        <f>U69/5</f>
        <v>1.22</v>
      </c>
      <c r="W69" s="213"/>
      <c r="X69" s="212"/>
      <c r="Y69" s="179"/>
      <c r="Z69" s="180"/>
      <c r="AA69" s="179"/>
      <c r="AB69" s="180"/>
      <c r="AC69" s="181">
        <v>48</v>
      </c>
      <c r="AD69" s="204">
        <f>AC69/$R$69</f>
        <v>1</v>
      </c>
      <c r="AE69" s="181">
        <v>48</v>
      </c>
      <c r="AF69" s="204">
        <f>AE69/$R$69</f>
        <v>1</v>
      </c>
      <c r="AG69" s="181">
        <v>48</v>
      </c>
      <c r="AH69" s="204">
        <f>AG69/$R$69</f>
        <v>1</v>
      </c>
      <c r="AI69" s="181">
        <v>48</v>
      </c>
      <c r="AJ69" s="204">
        <f>AI69/$R$69</f>
        <v>1</v>
      </c>
      <c r="AK69" s="181">
        <v>47.698</v>
      </c>
      <c r="AL69" s="204">
        <f>AK69/$R$69</f>
        <v>0.9937083333333333</v>
      </c>
      <c r="AM69" s="181">
        <v>44.243000000000002</v>
      </c>
      <c r="AN69" s="204">
        <f>AM69/$R$69</f>
        <v>0.92172916666666671</v>
      </c>
      <c r="AO69" s="181">
        <v>39.704999999999998</v>
      </c>
      <c r="AP69" s="204">
        <f>AO69/$R$69</f>
        <v>0.82718749999999996</v>
      </c>
      <c r="AQ69" s="181">
        <v>34.372</v>
      </c>
      <c r="AR69" s="204">
        <f>AQ69/$R$69</f>
        <v>0.71608333333333329</v>
      </c>
      <c r="AS69" s="181">
        <v>27.966999999999999</v>
      </c>
      <c r="AT69" s="204">
        <f>AS69/$R$69</f>
        <v>0.58264583333333331</v>
      </c>
      <c r="AU69" s="181">
        <v>23.913</v>
      </c>
      <c r="AV69" s="204">
        <f t="shared" si="93"/>
        <v>0.49818750000000001</v>
      </c>
      <c r="AW69" s="181">
        <v>23.286999999999999</v>
      </c>
      <c r="AX69" s="204">
        <f>AW69/$R$69</f>
        <v>0.48514583333333333</v>
      </c>
      <c r="AY69" s="181">
        <v>21.89</v>
      </c>
      <c r="AZ69" s="204">
        <f>AY69/$R$69</f>
        <v>0.45604166666666668</v>
      </c>
      <c r="BA69" s="181">
        <v>19.815999999999999</v>
      </c>
      <c r="BB69" s="204">
        <f>BA69/$R$69</f>
        <v>0.41283333333333333</v>
      </c>
      <c r="BC69" s="181">
        <v>17.094000000000001</v>
      </c>
      <c r="BD69" s="204">
        <f>BC69/$R$69</f>
        <v>0.35612500000000002</v>
      </c>
      <c r="BE69" s="181">
        <v>13.89</v>
      </c>
      <c r="BF69" s="204">
        <f>BE69/$R$69</f>
        <v>0.28937499999999999</v>
      </c>
      <c r="BG69" s="181">
        <v>13.89</v>
      </c>
      <c r="BH69" s="204">
        <f>BG69/$R$69</f>
        <v>0.28937499999999999</v>
      </c>
      <c r="BI69" s="181">
        <v>13.89</v>
      </c>
      <c r="BJ69" s="223">
        <f>BI69/$R$69</f>
        <v>0.28937499999999999</v>
      </c>
      <c r="BK69" s="207" t="s">
        <v>42</v>
      </c>
      <c r="BL69" s="208" t="s">
        <v>197</v>
      </c>
    </row>
    <row r="70" spans="1:64" s="24" customFormat="1">
      <c r="A70" s="195" t="s">
        <v>72</v>
      </c>
      <c r="B70" s="196" t="s">
        <v>198</v>
      </c>
      <c r="C70" s="197">
        <v>41</v>
      </c>
      <c r="D70" s="209" t="s">
        <v>199</v>
      </c>
      <c r="E70" s="199">
        <v>46</v>
      </c>
      <c r="F70" s="200">
        <v>46</v>
      </c>
      <c r="G70" s="200">
        <v>46</v>
      </c>
      <c r="H70" s="200">
        <v>46</v>
      </c>
      <c r="I70" s="200">
        <v>46</v>
      </c>
      <c r="J70" s="200">
        <v>46</v>
      </c>
      <c r="K70" s="200">
        <v>46</v>
      </c>
      <c r="L70" s="201">
        <v>46</v>
      </c>
      <c r="M70" s="202">
        <v>46</v>
      </c>
      <c r="N70" s="202">
        <v>46</v>
      </c>
      <c r="O70" s="203">
        <v>46</v>
      </c>
      <c r="P70" s="203">
        <v>42</v>
      </c>
      <c r="Q70" s="203">
        <v>53</v>
      </c>
      <c r="R70" s="203">
        <v>53</v>
      </c>
      <c r="S70" s="179"/>
      <c r="T70" s="180"/>
      <c r="U70" s="179"/>
      <c r="V70" s="180"/>
      <c r="W70" s="179"/>
      <c r="X70" s="180"/>
      <c r="Y70" s="179"/>
      <c r="Z70" s="180"/>
      <c r="AA70" s="179"/>
      <c r="AB70" s="180"/>
      <c r="AC70" s="179"/>
      <c r="AD70" s="180"/>
      <c r="AE70" s="179"/>
      <c r="AF70" s="180"/>
      <c r="AG70" s="179"/>
      <c r="AH70" s="180"/>
      <c r="AI70" s="178">
        <v>53</v>
      </c>
      <c r="AJ70" s="204">
        <f>AI70/$R$70</f>
        <v>1</v>
      </c>
      <c r="AK70" s="178">
        <v>53</v>
      </c>
      <c r="AL70" s="204">
        <f>AK70/$R$70</f>
        <v>1</v>
      </c>
      <c r="AM70" s="178">
        <v>53</v>
      </c>
      <c r="AN70" s="204">
        <f>AM70/$R$70</f>
        <v>1</v>
      </c>
      <c r="AO70" s="181">
        <v>49.234000000000002</v>
      </c>
      <c r="AP70" s="204">
        <f>AO70/$R$70</f>
        <v>0.92894339622641509</v>
      </c>
      <c r="AQ70" s="181">
        <v>49.234000000000002</v>
      </c>
      <c r="AR70" s="204">
        <f>AQ70/$R$70</f>
        <v>0.92894339622641509</v>
      </c>
      <c r="AS70" s="181">
        <v>34.373199999999997</v>
      </c>
      <c r="AT70" s="204">
        <f>AS70/$R$70</f>
        <v>0.64855094339622632</v>
      </c>
      <c r="AU70" s="181">
        <v>27.030063999999999</v>
      </c>
      <c r="AV70" s="204">
        <f t="shared" si="93"/>
        <v>0.51000120754716982</v>
      </c>
      <c r="AW70" s="181">
        <v>22.4284</v>
      </c>
      <c r="AX70" s="204">
        <f>AW70/$R$70</f>
        <v>0.42317735849056604</v>
      </c>
      <c r="AY70" s="181">
        <v>18.912189999999999</v>
      </c>
      <c r="AZ70" s="204">
        <f>AY70/$R$70</f>
        <v>0.35683377358490564</v>
      </c>
      <c r="BA70" s="181">
        <v>12.62227</v>
      </c>
      <c r="BB70" s="204">
        <f>BA70/$R$70</f>
        <v>0.23815603773584906</v>
      </c>
      <c r="BC70" s="181">
        <v>9.45139</v>
      </c>
      <c r="BD70" s="204">
        <f>BC70/$R$70</f>
        <v>0.17832811320754716</v>
      </c>
      <c r="BE70" s="181">
        <v>5.7156700000000003</v>
      </c>
      <c r="BF70" s="204">
        <f>BE70/$R$70</f>
        <v>0.10784283018867925</v>
      </c>
      <c r="BG70" s="181">
        <v>5.7156700000000003</v>
      </c>
      <c r="BH70" s="204">
        <f>BG70/$R$70</f>
        <v>0.10784283018867925</v>
      </c>
      <c r="BI70" s="205"/>
      <c r="BJ70" s="206"/>
      <c r="BK70" s="194" t="s">
        <v>200</v>
      </c>
      <c r="BL70" s="208" t="s">
        <v>201</v>
      </c>
    </row>
    <row r="71" spans="1:64" s="24" customFormat="1">
      <c r="A71" s="224" t="s">
        <v>72</v>
      </c>
      <c r="B71" s="225" t="s">
        <v>202</v>
      </c>
      <c r="C71" s="226">
        <v>45</v>
      </c>
      <c r="D71" s="227" t="s">
        <v>203</v>
      </c>
      <c r="E71" s="228"/>
      <c r="F71" s="229">
        <v>5</v>
      </c>
      <c r="G71" s="229">
        <v>5</v>
      </c>
      <c r="H71" s="229">
        <v>5</v>
      </c>
      <c r="I71" s="229">
        <v>5</v>
      </c>
      <c r="J71" s="229">
        <v>5</v>
      </c>
      <c r="K71" s="229">
        <v>5</v>
      </c>
      <c r="L71" s="230">
        <v>5</v>
      </c>
      <c r="M71" s="231">
        <v>5</v>
      </c>
      <c r="N71" s="231">
        <v>5</v>
      </c>
      <c r="O71" s="232">
        <v>5</v>
      </c>
      <c r="P71" s="203">
        <v>11</v>
      </c>
      <c r="Q71" s="232">
        <v>8.39</v>
      </c>
      <c r="R71" s="232">
        <v>8.39</v>
      </c>
      <c r="S71" s="179"/>
      <c r="T71" s="180"/>
      <c r="U71" s="179"/>
      <c r="V71" s="180"/>
      <c r="W71" s="179"/>
      <c r="X71" s="180"/>
      <c r="Y71" s="179"/>
      <c r="Z71" s="180"/>
      <c r="AA71" s="179"/>
      <c r="AB71" s="180"/>
      <c r="AC71" s="179"/>
      <c r="AD71" s="180"/>
      <c r="AE71" s="179"/>
      <c r="AF71" s="180"/>
      <c r="AG71" s="179"/>
      <c r="AH71" s="180"/>
      <c r="AI71" s="211"/>
      <c r="AJ71" s="212"/>
      <c r="AK71" s="233"/>
      <c r="AL71" s="212"/>
      <c r="AM71" s="233"/>
      <c r="AN71" s="212"/>
      <c r="AO71" s="233"/>
      <c r="AP71" s="212"/>
      <c r="AQ71" s="233"/>
      <c r="AR71" s="212"/>
      <c r="AS71" s="233"/>
      <c r="AT71" s="212"/>
      <c r="AU71" s="234">
        <v>8.39</v>
      </c>
      <c r="AV71" s="204">
        <f t="shared" si="93"/>
        <v>1</v>
      </c>
      <c r="AW71" s="234">
        <v>7.90184</v>
      </c>
      <c r="AX71" s="204">
        <f>AW71/$R$71</f>
        <v>0.94181644815256249</v>
      </c>
      <c r="AY71" s="234">
        <v>7.90184</v>
      </c>
      <c r="AZ71" s="204">
        <f>AY71/$R$71</f>
        <v>0.94181644815256249</v>
      </c>
      <c r="BA71" s="234">
        <v>5.6554399999999996</v>
      </c>
      <c r="BB71" s="204">
        <f>BA71/$R$71</f>
        <v>0.6740691299165672</v>
      </c>
      <c r="BC71" s="234">
        <v>3.7114400000000001</v>
      </c>
      <c r="BD71" s="204">
        <f>BC71/$R$71</f>
        <v>0.44236471990464837</v>
      </c>
      <c r="BE71" s="234">
        <v>2.1549800000000001</v>
      </c>
      <c r="BF71" s="204">
        <f>BE71/$R$71</f>
        <v>0.25685101311084624</v>
      </c>
      <c r="BG71" s="234">
        <v>2.1549800000000001</v>
      </c>
      <c r="BH71" s="204">
        <f>BG71/$R$71</f>
        <v>0.25685101311084624</v>
      </c>
      <c r="BI71" s="235"/>
      <c r="BJ71" s="236"/>
      <c r="BK71" s="237" t="s">
        <v>200</v>
      </c>
      <c r="BL71" s="238" t="s">
        <v>204</v>
      </c>
    </row>
    <row r="72" spans="1:64" s="24" customFormat="1" ht="9" customHeight="1">
      <c r="A72" s="239"/>
      <c r="B72" s="240"/>
      <c r="C72" s="240"/>
      <c r="D72" s="241"/>
      <c r="E72" s="242"/>
      <c r="F72" s="243"/>
      <c r="G72" s="243"/>
      <c r="H72" s="243"/>
      <c r="I72" s="243"/>
      <c r="J72" s="243"/>
      <c r="K72" s="243"/>
      <c r="L72" s="244"/>
      <c r="M72" s="245"/>
      <c r="N72" s="245"/>
      <c r="O72" s="245"/>
      <c r="P72" s="245"/>
      <c r="Q72" s="245"/>
      <c r="R72" s="245"/>
      <c r="S72" s="246"/>
      <c r="T72" s="247"/>
      <c r="U72" s="246"/>
      <c r="V72" s="247"/>
      <c r="W72" s="246"/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46"/>
      <c r="AL72" s="247"/>
      <c r="AM72" s="246"/>
      <c r="AN72" s="247"/>
      <c r="AO72" s="246"/>
      <c r="AP72" s="247"/>
      <c r="AQ72" s="246"/>
      <c r="AR72" s="247"/>
      <c r="AS72" s="246"/>
      <c r="AT72" s="247"/>
      <c r="AU72" s="246"/>
      <c r="AV72" s="247"/>
      <c r="AW72" s="246"/>
      <c r="AX72" s="247"/>
      <c r="AY72" s="246"/>
      <c r="AZ72" s="247"/>
      <c r="BA72" s="246"/>
      <c r="BB72" s="247"/>
      <c r="BC72" s="246"/>
      <c r="BD72" s="247"/>
      <c r="BE72" s="246"/>
      <c r="BF72" s="247"/>
      <c r="BG72" s="246"/>
      <c r="BH72" s="247"/>
      <c r="BI72" s="246"/>
      <c r="BJ72" s="247"/>
      <c r="BK72" s="248"/>
      <c r="BL72" s="249"/>
    </row>
    <row r="73" spans="1:64" s="257" customFormat="1">
      <c r="A73" s="450" t="s">
        <v>205</v>
      </c>
      <c r="B73" s="450"/>
      <c r="C73" s="250"/>
      <c r="D73" s="251"/>
      <c r="E73" s="252">
        <f t="shared" ref="E73:P73" si="94">SUM(E65:E71)</f>
        <v>98</v>
      </c>
      <c r="F73" s="252">
        <f t="shared" si="94"/>
        <v>166</v>
      </c>
      <c r="G73" s="252">
        <f t="shared" si="94"/>
        <v>166</v>
      </c>
      <c r="H73" s="252">
        <f t="shared" si="94"/>
        <v>166</v>
      </c>
      <c r="I73" s="252">
        <f t="shared" si="94"/>
        <v>141.9</v>
      </c>
      <c r="J73" s="252">
        <f t="shared" si="94"/>
        <v>133</v>
      </c>
      <c r="K73" s="252">
        <f t="shared" si="94"/>
        <v>166</v>
      </c>
      <c r="L73" s="252">
        <f t="shared" si="94"/>
        <v>160.6</v>
      </c>
      <c r="M73" s="253">
        <f t="shared" si="94"/>
        <v>164.4</v>
      </c>
      <c r="N73" s="253">
        <f t="shared" si="94"/>
        <v>150.80000000000001</v>
      </c>
      <c r="O73" s="253">
        <f t="shared" si="94"/>
        <v>157</v>
      </c>
      <c r="P73" s="253">
        <f t="shared" si="94"/>
        <v>161</v>
      </c>
      <c r="Q73" s="253">
        <f>SUM(Q64:Q71)</f>
        <v>173.58999999999997</v>
      </c>
      <c r="R73" s="253">
        <f>SUM(R64:R71)</f>
        <v>173.745</v>
      </c>
      <c r="S73" s="254"/>
      <c r="T73" s="255"/>
      <c r="U73" s="254"/>
      <c r="V73" s="255"/>
      <c r="W73" s="254"/>
      <c r="X73" s="255"/>
      <c r="Y73" s="254"/>
      <c r="Z73" s="255"/>
      <c r="AA73" s="254"/>
      <c r="AB73" s="255"/>
      <c r="AC73" s="253">
        <f>SUM(AC64:AC71)</f>
        <v>48</v>
      </c>
      <c r="AD73" s="256">
        <f>AD69</f>
        <v>1</v>
      </c>
      <c r="AE73" s="253">
        <f>SUM(AE64:AE71)</f>
        <v>48</v>
      </c>
      <c r="AF73" s="256">
        <f>AF69</f>
        <v>1</v>
      </c>
      <c r="AG73" s="253">
        <f>SUM(AG64:AG71)</f>
        <v>48</v>
      </c>
      <c r="AH73" s="256">
        <f>AH69</f>
        <v>1</v>
      </c>
      <c r="AI73" s="253">
        <f>SUM(AI64:AI71)</f>
        <v>129.6</v>
      </c>
      <c r="AJ73" s="256">
        <f>AI73/($R$73-R68-R71-$R$65+suivi_droits_acquis_Entraygues!B2)</f>
        <v>0.99999999999999978</v>
      </c>
      <c r="AK73" s="253">
        <f>SUM(AK64:AK71)</f>
        <v>129.298</v>
      </c>
      <c r="AL73" s="256">
        <f>AK73/($R$73-R68-R71-$R$65+suivi_droits_acquis_Entraygues!C2)</f>
        <v>0.99766975308641959</v>
      </c>
      <c r="AM73" s="253">
        <f>SUM(AM64:AM71)</f>
        <v>126.94728000000001</v>
      </c>
      <c r="AN73" s="256">
        <f>AM73/($R$73-$R$71-$R$65+suivi_droits_acquis_Entraygues!D2)</f>
        <v>0.95820115484771839</v>
      </c>
      <c r="AO73" s="253">
        <f>SUM(AO64:AO71)</f>
        <v>120.69493700000001</v>
      </c>
      <c r="AP73" s="256">
        <f>AO73/($R$73-$R$71-$R$65+suivi_droits_acquis_Entraygues!E2)</f>
        <v>0.89036299859099843</v>
      </c>
      <c r="AQ73" s="253">
        <f>SUM(AQ64:AQ71)</f>
        <v>108.76721699999999</v>
      </c>
      <c r="AR73" s="256">
        <f>AQ73/($R$73-$R$71-$R$65+suivi_droits_acquis_Entraygues!F2)</f>
        <v>0.79589068571135846</v>
      </c>
      <c r="AS73" s="253">
        <f>SUM(AS64:AS71)</f>
        <v>83.521615999999995</v>
      </c>
      <c r="AT73" s="256">
        <f>AS73/($R$73-$R$71-$R$65+suivi_droits_acquis_Entraygues!G2)</f>
        <v>0.58548387006322977</v>
      </c>
      <c r="AU73" s="253">
        <f>SUM(AU64:AU71)</f>
        <v>76.465042999999994</v>
      </c>
      <c r="AV73" s="256">
        <f>AU73/($R73-$R$65+suivi_droits_acquis_Entraygues!H2)</f>
        <v>0.48281310694937291</v>
      </c>
      <c r="AW73" s="253">
        <f>SUM(AW64:AW71)</f>
        <v>70.699937000000006</v>
      </c>
      <c r="AX73" s="256">
        <f>AW73/($R$73-$R$65+suivi_droits_acquis_Entraygues!I2)</f>
        <v>0.42709188826734645</v>
      </c>
      <c r="AY73" s="253">
        <f>SUM(AY64:AY71)</f>
        <v>66.402789000000013</v>
      </c>
      <c r="AZ73" s="256">
        <f>AY73/($R$73-$R$65+suivi_droits_acquis_Entraygues!J2)</f>
        <v>0.39186321361549453</v>
      </c>
      <c r="BA73" s="253">
        <f>SUM(BA64:BA71)</f>
        <v>57.659556999999992</v>
      </c>
      <c r="BB73" s="256">
        <f>BA73/($R$73-$R$68-$R$65+suivi_droits_acquis_Entraygues!K2)</f>
        <v>0.33729887975664685</v>
      </c>
      <c r="BC73" s="253">
        <f>SUM(BC64:BC71)</f>
        <v>46.498498000000005</v>
      </c>
      <c r="BD73" s="256">
        <f>BC73/($R$73-$R$68-$R$65+suivi_droits_acquis_Entraygues!L2)</f>
        <v>0.27200852905905415</v>
      </c>
      <c r="BE73" s="253">
        <f>SUM(BE64:BE71)</f>
        <v>29.280785999999999</v>
      </c>
      <c r="BF73" s="256">
        <f>BE73/($R$73-$R$68-$R$65+suivi_droits_acquis_Entraygues!M2)</f>
        <v>0.17128775922080203</v>
      </c>
      <c r="BG73" s="253">
        <f>SUM(BG64:BG71)</f>
        <v>26.310980000000001</v>
      </c>
      <c r="BH73" s="256">
        <f>BG73/($R$73-$R$65+suivi_droits_acquis_Entraygues!N2)</f>
        <v>0.15143445854556967</v>
      </c>
      <c r="BI73" s="254"/>
      <c r="BJ73" s="255"/>
      <c r="BL73" s="258"/>
    </row>
    <row r="74" spans="1:64">
      <c r="AO74" s="50"/>
    </row>
    <row r="75" spans="1:64" ht="89.25" customHeight="1">
      <c r="A75" s="451" t="s">
        <v>206</v>
      </c>
      <c r="B75" s="451"/>
      <c r="C75" s="451"/>
      <c r="D75" s="451"/>
      <c r="AI75" s="160">
        <f>$AI$73-AI73</f>
        <v>0</v>
      </c>
      <c r="AJ75" s="160"/>
      <c r="AK75" s="160">
        <f>$AI$73-AK73</f>
        <v>0.3019999999999925</v>
      </c>
      <c r="AL75" s="160"/>
      <c r="AM75" s="160">
        <f>$AI$73-AM73</f>
        <v>2.652719999999988</v>
      </c>
      <c r="AN75" s="160"/>
      <c r="AO75" s="159">
        <f>$AI$73-AO73</f>
        <v>8.9050629999999842</v>
      </c>
      <c r="AP75" s="160"/>
      <c r="AQ75" s="160">
        <f>$AI$73-AQ73</f>
        <v>20.832783000000006</v>
      </c>
      <c r="AR75" s="160"/>
      <c r="AS75" s="160">
        <f>$AI$73-AS73</f>
        <v>46.078384</v>
      </c>
      <c r="AT75" s="160"/>
      <c r="AU75" s="160">
        <f>$AI$73-AU73</f>
        <v>53.134957</v>
      </c>
      <c r="AV75" s="160"/>
      <c r="AW75" s="160">
        <f>$AI$73-AW73</f>
        <v>58.900062999999989</v>
      </c>
      <c r="AX75" s="160"/>
      <c r="AY75" s="160">
        <f>$AI$73-AY73</f>
        <v>63.197210999999982</v>
      </c>
      <c r="AZ75" s="160"/>
      <c r="BA75" s="159">
        <f>$AI$73-BA73</f>
        <v>71.940443000000002</v>
      </c>
      <c r="BB75" s="160"/>
      <c r="BC75" s="160">
        <f>$AI$73-BC73</f>
        <v>83.101501999999982</v>
      </c>
      <c r="BD75" s="160"/>
      <c r="BE75" s="160">
        <f>$AI$73-BE73</f>
        <v>100.31921399999999</v>
      </c>
      <c r="BF75" s="160"/>
      <c r="BG75" s="160">
        <f>$AI$73-BG73</f>
        <v>103.28901999999999</v>
      </c>
      <c r="BH75" s="160"/>
      <c r="BI75" s="160">
        <f>$AI$73-BI73</f>
        <v>129.6</v>
      </c>
      <c r="BK75" s="154" t="s">
        <v>207</v>
      </c>
    </row>
    <row r="76" spans="1:64">
      <c r="AK76" s="159"/>
      <c r="AL76" s="159"/>
      <c r="AM76" s="159"/>
      <c r="AN76" s="159"/>
      <c r="AO76" s="159">
        <f>AI73-AO73</f>
        <v>8.9050629999999842</v>
      </c>
      <c r="AP76" s="159"/>
      <c r="AQ76" s="159"/>
      <c r="AR76" s="159"/>
      <c r="AS76" s="159"/>
      <c r="AT76" s="159"/>
      <c r="AU76" s="159">
        <f>AO73-AU73</f>
        <v>44.229894000000016</v>
      </c>
      <c r="AV76" s="159"/>
      <c r="AW76" s="159"/>
      <c r="AX76" s="159"/>
      <c r="AY76" s="159"/>
      <c r="AZ76" s="159"/>
      <c r="BA76" s="159">
        <f>AU73-BA73</f>
        <v>18.805486000000002</v>
      </c>
      <c r="BB76" s="159"/>
      <c r="BC76" s="159"/>
      <c r="BD76" s="159"/>
      <c r="BE76" s="159"/>
      <c r="BF76" s="159"/>
      <c r="BG76" s="159">
        <f>BA73-BG73</f>
        <v>31.348576999999992</v>
      </c>
      <c r="BH76" s="159"/>
      <c r="BK76" s="154" t="s">
        <v>158</v>
      </c>
    </row>
    <row r="77" spans="1:64">
      <c r="AW77" s="259"/>
    </row>
    <row r="78" spans="1:64">
      <c r="BK78" s="260"/>
    </row>
    <row r="122" spans="64:64">
      <c r="BL122" s="12" t="s">
        <v>208</v>
      </c>
    </row>
  </sheetData>
  <mergeCells count="7">
    <mergeCell ref="A73:B73"/>
    <mergeCell ref="A75:D75"/>
    <mergeCell ref="A14:B14"/>
    <mergeCell ref="A31:B31"/>
    <mergeCell ref="A43:B43"/>
    <mergeCell ref="A58:B58"/>
    <mergeCell ref="A60:B60"/>
  </mergeCells>
  <pageMargins left="0.55138888888888904" right="0.55138888888888904" top="0.59027777777777801" bottom="0.59027777777777801" header="0.511811023622047" footer="0.511811023622047"/>
  <pageSetup paperSize="8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52"/>
  <sheetViews>
    <sheetView topLeftCell="A10" zoomScaleNormal="100" workbookViewId="0"/>
  </sheetViews>
  <sheetFormatPr baseColWidth="10" defaultColWidth="13.42578125" defaultRowHeight="12.75"/>
  <cols>
    <col min="2" max="2" width="19.5703125" customWidth="1"/>
    <col min="3" max="3" width="9" style="9" customWidth="1"/>
    <col min="4" max="4" width="8.28515625" customWidth="1"/>
    <col min="5" max="5" width="14" customWidth="1"/>
    <col min="9" max="9" width="7.42578125" customWidth="1"/>
    <col min="10" max="10" width="10.28515625" customWidth="1"/>
    <col min="11" max="11" width="8.5703125" style="10" customWidth="1"/>
    <col min="12" max="12" width="8.140625" style="10" customWidth="1"/>
    <col min="13" max="13" width="7.28515625" customWidth="1"/>
    <col min="14" max="14" width="6.5703125" style="50" customWidth="1"/>
    <col min="15" max="15" width="7.140625" customWidth="1"/>
    <col min="16" max="16" width="6.5703125" style="50" customWidth="1"/>
    <col min="17" max="17" width="7.140625" customWidth="1"/>
    <col min="18" max="18" width="10.7109375" style="50" customWidth="1"/>
    <col min="19" max="19" width="7.140625" style="50" customWidth="1"/>
    <col min="20" max="20" width="9" customWidth="1"/>
    <col min="21" max="21" width="7.140625" customWidth="1"/>
    <col min="22" max="22" width="9" customWidth="1"/>
    <col min="23" max="23" width="7.140625" customWidth="1"/>
    <col min="24" max="24" width="7.85546875" customWidth="1"/>
    <col min="25" max="25" width="7.140625" customWidth="1"/>
    <col min="26" max="26" width="7.85546875" customWidth="1"/>
    <col min="27" max="27" width="7.140625" customWidth="1"/>
    <col min="28" max="28" width="7.85546875" customWidth="1"/>
    <col min="29" max="29" width="7.140625" customWidth="1"/>
    <col min="30" max="30" width="7.85546875" customWidth="1"/>
    <col min="31" max="31" width="7.140625" customWidth="1"/>
    <col min="33" max="33" width="7.140625" customWidth="1"/>
    <col min="35" max="35" width="7.140625" customWidth="1"/>
    <col min="37" max="37" width="7.140625" customWidth="1"/>
    <col min="38" max="38" width="8.42578125" customWidth="1"/>
    <col min="39" max="39" width="7.140625" customWidth="1"/>
    <col min="40" max="40" width="8.42578125" customWidth="1"/>
    <col min="41" max="41" width="7.140625" customWidth="1"/>
    <col min="42" max="42" width="8.42578125" customWidth="1"/>
    <col min="43" max="43" width="9.85546875" customWidth="1"/>
    <col min="44" max="44" width="10.28515625" customWidth="1"/>
    <col min="45" max="45" width="7.140625" customWidth="1"/>
    <col min="46" max="54" width="10.42578125" customWidth="1"/>
  </cols>
  <sheetData>
    <row r="1" spans="1:81" s="261" customFormat="1">
      <c r="A1" s="261" t="s">
        <v>209</v>
      </c>
      <c r="C1" s="262"/>
      <c r="K1" s="263"/>
      <c r="L1" s="263"/>
      <c r="N1" s="264"/>
      <c r="P1" s="264"/>
      <c r="R1" s="264"/>
      <c r="S1" s="264"/>
    </row>
    <row r="2" spans="1:81">
      <c r="K2" s="265"/>
      <c r="L2" s="265"/>
    </row>
    <row r="3" spans="1:81">
      <c r="B3" s="20" t="s">
        <v>210</v>
      </c>
      <c r="C3" s="266" t="s">
        <v>211</v>
      </c>
      <c r="D3" s="266" t="s">
        <v>212</v>
      </c>
      <c r="E3" s="266" t="s">
        <v>211</v>
      </c>
      <c r="F3" s="266" t="s">
        <v>213</v>
      </c>
      <c r="G3" s="266" t="s">
        <v>211</v>
      </c>
      <c r="H3" s="266" t="s">
        <v>214</v>
      </c>
      <c r="I3" s="266" t="s">
        <v>211</v>
      </c>
      <c r="J3" s="266" t="s">
        <v>215</v>
      </c>
      <c r="K3" s="266" t="s">
        <v>211</v>
      </c>
      <c r="L3" s="266" t="s">
        <v>216</v>
      </c>
      <c r="M3" s="266" t="s">
        <v>211</v>
      </c>
      <c r="N3" s="266" t="s">
        <v>217</v>
      </c>
      <c r="O3" s="266">
        <v>10</v>
      </c>
      <c r="P3" s="266" t="s">
        <v>217</v>
      </c>
      <c r="Q3" s="266">
        <v>20</v>
      </c>
      <c r="R3" s="266" t="s">
        <v>217</v>
      </c>
      <c r="S3" s="266" t="s">
        <v>211</v>
      </c>
      <c r="T3" s="266" t="s">
        <v>218</v>
      </c>
      <c r="U3" s="266" t="s">
        <v>219</v>
      </c>
      <c r="V3" s="266" t="s">
        <v>218</v>
      </c>
      <c r="W3" s="266" t="s">
        <v>220</v>
      </c>
      <c r="X3" s="266" t="s">
        <v>221</v>
      </c>
      <c r="Y3" s="266" t="s">
        <v>211</v>
      </c>
      <c r="Z3" s="266" t="s">
        <v>222</v>
      </c>
      <c r="AA3" s="266" t="s">
        <v>219</v>
      </c>
      <c r="AB3" s="266" t="s">
        <v>222</v>
      </c>
      <c r="AC3" s="266" t="s">
        <v>220</v>
      </c>
      <c r="AD3" s="266" t="s">
        <v>222</v>
      </c>
      <c r="AE3" s="266" t="s">
        <v>211</v>
      </c>
      <c r="AF3" s="266" t="s">
        <v>223</v>
      </c>
      <c r="AG3" s="266" t="s">
        <v>219</v>
      </c>
      <c r="AH3" s="266" t="s">
        <v>223</v>
      </c>
      <c r="AI3" s="266" t="s">
        <v>220</v>
      </c>
      <c r="AJ3" s="266" t="s">
        <v>223</v>
      </c>
      <c r="AK3" s="266" t="s">
        <v>211</v>
      </c>
      <c r="AL3" s="266" t="s">
        <v>224</v>
      </c>
      <c r="AM3" s="266" t="s">
        <v>219</v>
      </c>
      <c r="AN3" s="266" t="s">
        <v>224</v>
      </c>
      <c r="AO3" s="266" t="s">
        <v>220</v>
      </c>
      <c r="AP3" s="266" t="s">
        <v>224</v>
      </c>
      <c r="AQ3" s="266" t="s">
        <v>211</v>
      </c>
      <c r="AR3" s="266" t="s">
        <v>225</v>
      </c>
      <c r="AS3" s="266" t="s">
        <v>211</v>
      </c>
      <c r="AT3" s="266" t="s">
        <v>226</v>
      </c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H3" s="266" t="s">
        <v>227</v>
      </c>
      <c r="BI3" s="266" t="s">
        <v>228</v>
      </c>
      <c r="BJ3" s="266" t="s">
        <v>229</v>
      </c>
      <c r="BK3" s="266" t="s">
        <v>230</v>
      </c>
      <c r="BL3" s="266" t="s">
        <v>231</v>
      </c>
      <c r="BM3" s="266" t="s">
        <v>232</v>
      </c>
      <c r="BN3" s="266" t="s">
        <v>233</v>
      </c>
      <c r="BO3" s="266" t="s">
        <v>234</v>
      </c>
      <c r="BP3" s="266" t="s">
        <v>235</v>
      </c>
      <c r="BQ3" s="266" t="s">
        <v>236</v>
      </c>
      <c r="BR3" s="266" t="s">
        <v>237</v>
      </c>
      <c r="BS3" s="266" t="s">
        <v>238</v>
      </c>
      <c r="BT3" s="266" t="s">
        <v>239</v>
      </c>
      <c r="BU3" s="266" t="s">
        <v>240</v>
      </c>
      <c r="BV3" s="266" t="s">
        <v>241</v>
      </c>
      <c r="BW3" s="266" t="s">
        <v>225</v>
      </c>
      <c r="BX3" s="266" t="s">
        <v>226</v>
      </c>
      <c r="BY3" s="266" t="s">
        <v>212</v>
      </c>
      <c r="BZ3" s="266" t="s">
        <v>213</v>
      </c>
      <c r="CA3" s="266" t="s">
        <v>214</v>
      </c>
      <c r="CB3" s="266" t="s">
        <v>215</v>
      </c>
      <c r="CC3" s="266" t="s">
        <v>216</v>
      </c>
    </row>
    <row r="4" spans="1:81">
      <c r="A4" s="148">
        <v>2017</v>
      </c>
      <c r="B4" s="89">
        <v>383.358</v>
      </c>
      <c r="C4" s="267">
        <v>148.47999999999999</v>
      </c>
      <c r="D4" s="92">
        <v>0.38731420760751001</v>
      </c>
      <c r="E4" s="267">
        <v>162.53</v>
      </c>
      <c r="F4" s="92">
        <v>0.42396402318459497</v>
      </c>
      <c r="G4" s="267">
        <v>200.35</v>
      </c>
      <c r="H4" s="92">
        <v>0.52261854454582901</v>
      </c>
      <c r="I4" s="267">
        <v>256.65899999999999</v>
      </c>
      <c r="J4" s="92">
        <v>0.66950213638426803</v>
      </c>
      <c r="K4" s="267">
        <v>277.63</v>
      </c>
      <c r="L4" s="92">
        <v>0.72420557285878995</v>
      </c>
      <c r="M4" s="267">
        <v>286.57</v>
      </c>
      <c r="N4" s="92">
        <v>0.74752581138257201</v>
      </c>
      <c r="O4" s="267">
        <v>289.77999999999997</v>
      </c>
      <c r="P4" s="92">
        <v>0.75589918561762104</v>
      </c>
      <c r="Q4" s="267">
        <v>286.14999999999998</v>
      </c>
      <c r="R4" s="92">
        <v>0.74643022970695805</v>
      </c>
      <c r="S4" s="267">
        <v>270.88</v>
      </c>
      <c r="T4" s="92">
        <v>0.70659801021499502</v>
      </c>
      <c r="U4" s="267">
        <v>260.36</v>
      </c>
      <c r="V4" s="92">
        <v>0.68631740993995105</v>
      </c>
      <c r="W4" s="267">
        <v>247.63</v>
      </c>
      <c r="X4" s="92">
        <v>0.64594973888636698</v>
      </c>
      <c r="Y4" s="267">
        <v>232.27</v>
      </c>
      <c r="Z4" s="92">
        <v>0.60588275189248697</v>
      </c>
      <c r="AA4" s="267">
        <v>208.44</v>
      </c>
      <c r="AB4" s="92">
        <v>0.54372153444039195</v>
      </c>
      <c r="AC4" s="267">
        <v>181.1</v>
      </c>
      <c r="AD4" s="92">
        <v>0.472404384413525</v>
      </c>
      <c r="AE4" s="267">
        <v>160.61000000000001</v>
      </c>
      <c r="AF4" s="92">
        <v>0.41895564981035999</v>
      </c>
      <c r="AG4" s="267">
        <v>146.42099999999999</v>
      </c>
      <c r="AH4" s="92">
        <v>0.381943248869203</v>
      </c>
      <c r="AI4" s="267">
        <v>144.464</v>
      </c>
      <c r="AJ4" s="92">
        <v>0.37683835996640203</v>
      </c>
      <c r="AK4" s="267">
        <v>135.684</v>
      </c>
      <c r="AL4" s="92">
        <v>0.35393548589047302</v>
      </c>
      <c r="AM4" s="267">
        <v>133.155</v>
      </c>
      <c r="AN4" s="92">
        <v>0.34733851908659802</v>
      </c>
      <c r="AO4" s="267">
        <v>107.078</v>
      </c>
      <c r="AP4" s="92">
        <v>0.309377419764929</v>
      </c>
      <c r="AQ4" s="267">
        <v>120.643</v>
      </c>
      <c r="AR4" s="92">
        <v>0.31470061926449899</v>
      </c>
      <c r="AS4" s="267">
        <v>121.19199999999999</v>
      </c>
      <c r="AT4" s="92">
        <v>0.31613270102619501</v>
      </c>
      <c r="AU4" s="268"/>
      <c r="AV4" s="268"/>
      <c r="AW4" s="268"/>
      <c r="AX4" s="268"/>
      <c r="AY4" s="268"/>
      <c r="AZ4" s="268"/>
      <c r="BA4" s="268"/>
      <c r="BB4" s="268"/>
      <c r="BD4" s="11"/>
      <c r="BG4" s="269" t="s">
        <v>242</v>
      </c>
      <c r="BH4" s="92">
        <v>0.74752581138257201</v>
      </c>
      <c r="BI4" s="92">
        <v>0.75589918561762104</v>
      </c>
      <c r="BJ4" s="92">
        <v>0.74643022970695805</v>
      </c>
      <c r="BK4" s="92">
        <v>0.70659801021499502</v>
      </c>
      <c r="BL4" s="92">
        <v>0.68631740993995105</v>
      </c>
      <c r="BM4" s="92">
        <v>0.64594973888636698</v>
      </c>
      <c r="BN4" s="92">
        <v>0.60588275189248697</v>
      </c>
      <c r="BO4" s="92">
        <v>0.54372153444039195</v>
      </c>
      <c r="BP4" s="92">
        <v>0.472404384413525</v>
      </c>
      <c r="BQ4" s="92">
        <v>0.41895564981035999</v>
      </c>
      <c r="BR4" s="92">
        <v>0.381943248869203</v>
      </c>
      <c r="BS4" s="92">
        <v>0.37683835996640203</v>
      </c>
      <c r="BT4" s="92">
        <v>0.35393548589047302</v>
      </c>
      <c r="BU4" s="92">
        <v>0.34733851908659802</v>
      </c>
      <c r="BV4" s="92">
        <v>0.309377419764929</v>
      </c>
      <c r="BW4" s="92">
        <v>0.31470061926449899</v>
      </c>
      <c r="BX4" s="92">
        <v>0.31613270102619501</v>
      </c>
      <c r="BY4" s="270">
        <v>0.44376700627711602</v>
      </c>
      <c r="BZ4" s="271">
        <v>0.74790431375849797</v>
      </c>
      <c r="CA4" s="271">
        <v>0.88585327618654297</v>
      </c>
      <c r="CB4" s="271">
        <v>0.92486529779150195</v>
      </c>
      <c r="CC4" s="271">
        <v>0.961878321525656</v>
      </c>
    </row>
    <row r="5" spans="1:81">
      <c r="A5" s="272">
        <v>2018</v>
      </c>
      <c r="B5" s="273">
        <v>380.19049999999999</v>
      </c>
      <c r="C5" s="91">
        <v>168.71600000000001</v>
      </c>
      <c r="D5" s="270">
        <v>0.44376700627711602</v>
      </c>
      <c r="E5" s="91">
        <v>284.346115</v>
      </c>
      <c r="F5" s="271">
        <v>0.74790431375849797</v>
      </c>
      <c r="G5" s="91">
        <v>336.79300000000001</v>
      </c>
      <c r="H5" s="271">
        <v>0.88585327618654297</v>
      </c>
      <c r="I5" s="91">
        <v>351.625</v>
      </c>
      <c r="J5" s="271">
        <v>0.92486529779150195</v>
      </c>
      <c r="K5" s="91">
        <v>365.697</v>
      </c>
      <c r="L5" s="271">
        <v>0.961878321525656</v>
      </c>
      <c r="M5" s="91">
        <v>374.96300000000002</v>
      </c>
      <c r="N5" s="271">
        <v>0.98625031398732999</v>
      </c>
      <c r="O5" s="91">
        <v>377.464</v>
      </c>
      <c r="P5" s="271">
        <v>0.99282859513848998</v>
      </c>
      <c r="Q5" s="91">
        <v>378.14204999999998</v>
      </c>
      <c r="R5" s="274">
        <v>0.99461204317309304</v>
      </c>
      <c r="S5" s="91">
        <v>375.541</v>
      </c>
      <c r="T5" s="271">
        <v>0.98777060447328402</v>
      </c>
      <c r="U5" s="91">
        <v>368.91199999999998</v>
      </c>
      <c r="V5" s="271">
        <v>0.97033460857123</v>
      </c>
      <c r="W5" s="91">
        <v>359.8372</v>
      </c>
      <c r="X5" s="271">
        <v>0.96732900436973501</v>
      </c>
      <c r="Y5" s="91">
        <v>358.82799999999997</v>
      </c>
      <c r="Z5" s="271">
        <v>0.94381106313808505</v>
      </c>
      <c r="AA5" s="91">
        <v>330.20299999999997</v>
      </c>
      <c r="AB5" s="271">
        <v>0.86851986043838603</v>
      </c>
      <c r="AC5" s="91">
        <v>314.40100000000001</v>
      </c>
      <c r="AD5" s="271">
        <v>0.82695648628779495</v>
      </c>
      <c r="AE5" s="91">
        <v>285.30700000000002</v>
      </c>
      <c r="AF5" s="271">
        <v>0.75043169148098099</v>
      </c>
      <c r="AG5" s="91">
        <v>274.09800000000001</v>
      </c>
      <c r="AH5" s="271">
        <v>0.72094910314697502</v>
      </c>
      <c r="AI5" s="91">
        <v>264.32552262000002</v>
      </c>
      <c r="AJ5" s="271">
        <v>0.69524494331131403</v>
      </c>
      <c r="AK5" s="91">
        <v>244.453892623309</v>
      </c>
      <c r="AL5" s="271">
        <v>0.64297738271553095</v>
      </c>
      <c r="AM5" s="91">
        <v>235.32985682797101</v>
      </c>
      <c r="AN5" s="271">
        <v>0.61897879307339598</v>
      </c>
      <c r="AO5" s="91">
        <v>212.11099999999999</v>
      </c>
      <c r="AP5" s="275">
        <v>0.61850670888973502</v>
      </c>
      <c r="AQ5" s="91">
        <v>230.89529999999999</v>
      </c>
      <c r="AR5" s="271">
        <v>0.60731475405093005</v>
      </c>
      <c r="AS5" s="91">
        <v>233.74799999999999</v>
      </c>
      <c r="AT5" s="271">
        <v>0.61481809776940799</v>
      </c>
      <c r="AU5" s="276"/>
      <c r="AV5" s="276"/>
      <c r="AW5" s="276"/>
      <c r="AX5" s="276"/>
      <c r="AY5" s="276"/>
      <c r="AZ5" s="276"/>
      <c r="BA5" s="276"/>
      <c r="BB5" s="276"/>
      <c r="BC5" s="91"/>
      <c r="BD5" s="277"/>
      <c r="BE5" s="73"/>
      <c r="BF5" s="73"/>
      <c r="BG5" s="278" t="s">
        <v>243</v>
      </c>
      <c r="BH5" s="271">
        <v>0.98625031398732999</v>
      </c>
      <c r="BI5" s="271">
        <v>0.99282859513848998</v>
      </c>
      <c r="BJ5" s="274">
        <v>0.99461204317309304</v>
      </c>
      <c r="BK5" s="271">
        <v>0.98777060447328402</v>
      </c>
      <c r="BL5" s="271">
        <v>0.97033460857123</v>
      </c>
      <c r="BM5" s="271">
        <v>0.96732900436973501</v>
      </c>
      <c r="BN5" s="271">
        <v>0.94381106313808505</v>
      </c>
      <c r="BO5" s="271">
        <v>0.86851986043838603</v>
      </c>
      <c r="BP5" s="271">
        <v>0.82695648628779495</v>
      </c>
      <c r="BQ5" s="271">
        <v>0.75043169148098099</v>
      </c>
      <c r="BR5" s="271">
        <v>0.72094910314697502</v>
      </c>
      <c r="BS5" s="271">
        <v>0.69524494331131403</v>
      </c>
      <c r="BT5" s="271">
        <v>0.64297738271553095</v>
      </c>
      <c r="BU5" s="271">
        <v>0.61897879307339598</v>
      </c>
      <c r="BV5" s="275">
        <v>0.61850670888973502</v>
      </c>
      <c r="BW5" s="271">
        <v>0.60731475405093005</v>
      </c>
      <c r="BX5" s="271">
        <v>0.61481809776940799</v>
      </c>
      <c r="BY5" s="92">
        <v>0.68080853975136602</v>
      </c>
      <c r="BZ5" s="92">
        <v>0.74333340774581402</v>
      </c>
      <c r="CA5" s="92">
        <v>0.87195231648240801</v>
      </c>
      <c r="CB5" s="92">
        <v>0.88303539889247995</v>
      </c>
      <c r="CC5" s="92">
        <v>0.91497936366823795</v>
      </c>
    </row>
    <row r="6" spans="1:81">
      <c r="A6" s="148">
        <v>2019</v>
      </c>
      <c r="B6" s="90">
        <v>380.76049999999998</v>
      </c>
      <c r="C6" s="279">
        <v>259.22500000000002</v>
      </c>
      <c r="D6" s="92">
        <v>0.68080853975136602</v>
      </c>
      <c r="E6" s="279">
        <v>283.03199999999998</v>
      </c>
      <c r="F6" s="92">
        <v>0.74333340774581402</v>
      </c>
      <c r="G6" s="279">
        <v>332.005</v>
      </c>
      <c r="H6" s="92">
        <v>0.87195231648240801</v>
      </c>
      <c r="I6" s="279">
        <v>336.22500000000002</v>
      </c>
      <c r="J6" s="92">
        <v>0.88303539889247995</v>
      </c>
      <c r="K6" s="279">
        <v>348.38799999999998</v>
      </c>
      <c r="L6" s="92">
        <v>0.91497936366823795</v>
      </c>
      <c r="M6" s="279">
        <v>366.54300000000001</v>
      </c>
      <c r="N6" s="92">
        <v>0.96266025493715901</v>
      </c>
      <c r="O6" s="279">
        <v>367.726</v>
      </c>
      <c r="P6" s="92">
        <v>0.96576719486396301</v>
      </c>
      <c r="Q6" s="279">
        <v>367.846</v>
      </c>
      <c r="R6" s="92">
        <v>0.966082353605482</v>
      </c>
      <c r="S6" s="279">
        <v>359.97399999999999</v>
      </c>
      <c r="T6" s="92">
        <v>0.94540794016186103</v>
      </c>
      <c r="U6" s="279">
        <v>344.27100000000002</v>
      </c>
      <c r="V6" s="92">
        <v>0.90416679251130305</v>
      </c>
      <c r="W6" s="279">
        <v>310.34300000000002</v>
      </c>
      <c r="X6" s="92">
        <v>0.81506091099260602</v>
      </c>
      <c r="Y6" s="279">
        <v>283.38299999999998</v>
      </c>
      <c r="Z6" s="92">
        <v>0.74425524706475599</v>
      </c>
      <c r="AA6" s="279">
        <v>250.6</v>
      </c>
      <c r="AB6" s="92">
        <v>0.65815650520471503</v>
      </c>
      <c r="AC6" s="279">
        <v>233.12799999999999</v>
      </c>
      <c r="AD6" s="92">
        <v>0.61226939243960399</v>
      </c>
      <c r="AE6" s="279">
        <v>205.386</v>
      </c>
      <c r="AF6" s="92">
        <v>0.53940994404619202</v>
      </c>
      <c r="AG6" s="279">
        <v>186.48949999999999</v>
      </c>
      <c r="AH6" s="92">
        <v>0.48978163438696998</v>
      </c>
      <c r="AI6" s="279">
        <v>173.55019999999999</v>
      </c>
      <c r="AJ6" s="92">
        <v>0.45579885518587099</v>
      </c>
      <c r="AK6" s="279">
        <v>159.148</v>
      </c>
      <c r="AL6" s="92">
        <v>0.41797402829337599</v>
      </c>
      <c r="AM6" s="279">
        <v>148.65600000000001</v>
      </c>
      <c r="AN6" s="92">
        <v>0.39041864899326501</v>
      </c>
      <c r="AO6" s="279">
        <v>142.309</v>
      </c>
      <c r="AP6" s="92">
        <v>0.37374937788977602</v>
      </c>
      <c r="AQ6" s="279">
        <v>145.34399999999999</v>
      </c>
      <c r="AR6" s="92">
        <v>0.38172026772735101</v>
      </c>
      <c r="AS6" s="279">
        <v>230.4393</v>
      </c>
      <c r="AT6" s="92">
        <v>0.60520799820359505</v>
      </c>
      <c r="AU6" s="280"/>
      <c r="AV6" s="280"/>
      <c r="AW6" s="280"/>
      <c r="AX6" s="280"/>
      <c r="AY6" s="280"/>
      <c r="AZ6" s="280"/>
      <c r="BA6" s="280"/>
      <c r="BB6" s="280"/>
      <c r="BC6" s="279"/>
      <c r="BD6" s="92"/>
      <c r="BE6" s="281"/>
      <c r="BF6" s="282"/>
      <c r="BG6" s="269" t="s">
        <v>244</v>
      </c>
      <c r="BH6" s="92">
        <v>0.96266025493715901</v>
      </c>
      <c r="BI6" s="92">
        <v>0.96576719486396301</v>
      </c>
      <c r="BJ6" s="92">
        <v>0.966082353605482</v>
      </c>
      <c r="BK6" s="92">
        <v>0.94540794016186103</v>
      </c>
      <c r="BL6" s="92">
        <v>0.90416679251130305</v>
      </c>
      <c r="BM6" s="92">
        <v>0.81506091099260602</v>
      </c>
      <c r="BN6" s="92">
        <v>0.74425524706475599</v>
      </c>
      <c r="BO6" s="92">
        <v>0.65815650520471503</v>
      </c>
      <c r="BP6" s="92">
        <v>0.61226939243960399</v>
      </c>
      <c r="BQ6" s="92">
        <v>0.53940994404619202</v>
      </c>
      <c r="BR6" s="92">
        <v>0.48978163438696998</v>
      </c>
      <c r="BS6" s="92">
        <v>0.45579885518587099</v>
      </c>
      <c r="BT6" s="92">
        <v>0.41797402829337599</v>
      </c>
      <c r="BU6" s="92">
        <v>0.39041864899326501</v>
      </c>
      <c r="BV6" s="92">
        <v>0.37374937788977602</v>
      </c>
      <c r="BW6" s="92">
        <v>0.38172026772735101</v>
      </c>
      <c r="BX6" s="92">
        <v>0.60520799820359505</v>
      </c>
      <c r="BY6" s="92">
        <v>0.81404452405120797</v>
      </c>
      <c r="BZ6" s="92">
        <v>0.85969526776018002</v>
      </c>
      <c r="CA6" s="92">
        <v>0.88817248637923296</v>
      </c>
      <c r="CB6" s="92">
        <v>0.94588855724267595</v>
      </c>
      <c r="CC6" s="92">
        <v>0.97817657031125904</v>
      </c>
    </row>
    <row r="7" spans="1:81">
      <c r="A7" s="148">
        <v>2020</v>
      </c>
      <c r="B7" s="90">
        <v>380.76049999999998</v>
      </c>
      <c r="C7" s="279">
        <v>309.95600000000002</v>
      </c>
      <c r="D7" s="92">
        <v>0.81404452405120797</v>
      </c>
      <c r="E7" s="279">
        <v>327.33800000000002</v>
      </c>
      <c r="F7" s="92">
        <v>0.85969526776018002</v>
      </c>
      <c r="G7" s="279">
        <v>338.18099999999998</v>
      </c>
      <c r="H7" s="92">
        <v>0.88817248637923296</v>
      </c>
      <c r="I7" s="279">
        <v>360.15699999999998</v>
      </c>
      <c r="J7" s="92">
        <v>0.94588855724267595</v>
      </c>
      <c r="K7" s="279">
        <v>372.45100000000002</v>
      </c>
      <c r="L7" s="92">
        <v>0.97817657031125904</v>
      </c>
      <c r="M7" s="279">
        <v>375.78800000000001</v>
      </c>
      <c r="N7" s="92">
        <v>0.98694060964832198</v>
      </c>
      <c r="O7" s="279">
        <v>376.28500000000003</v>
      </c>
      <c r="P7" s="92">
        <v>0.98824589210277802</v>
      </c>
      <c r="Q7" s="279">
        <v>375.82900000000001</v>
      </c>
      <c r="R7" s="92">
        <v>0.98704828888500795</v>
      </c>
      <c r="S7" s="279">
        <v>373.10899999999998</v>
      </c>
      <c r="T7" s="92">
        <v>0.97990469074391895</v>
      </c>
      <c r="U7" s="279">
        <v>360.00599999999997</v>
      </c>
      <c r="V7" s="92">
        <v>0.94549198249293198</v>
      </c>
      <c r="W7" s="279">
        <v>331.03300000000002</v>
      </c>
      <c r="X7" s="92">
        <v>0.86939953067610698</v>
      </c>
      <c r="Y7" s="279">
        <v>299.36399999999998</v>
      </c>
      <c r="Z7" s="92">
        <v>0.79058681853533697</v>
      </c>
      <c r="AA7" s="279">
        <v>250.29</v>
      </c>
      <c r="AB7" s="92">
        <v>0.66098787700327899</v>
      </c>
      <c r="AC7" s="279">
        <v>225.96700000000001</v>
      </c>
      <c r="AD7" s="92">
        <v>0.59346229453948096</v>
      </c>
      <c r="AE7" s="279">
        <v>194.43799999999999</v>
      </c>
      <c r="AF7" s="92">
        <v>0.51065696152830997</v>
      </c>
      <c r="AG7" s="279">
        <v>182.10400000000001</v>
      </c>
      <c r="AH7" s="92">
        <v>0.478263895545888</v>
      </c>
      <c r="AI7" s="279">
        <v>162.613</v>
      </c>
      <c r="AJ7" s="92">
        <v>0.42707423695472602</v>
      </c>
      <c r="AK7" s="279">
        <v>159.81299999999999</v>
      </c>
      <c r="AL7" s="92">
        <v>0.41972053298595802</v>
      </c>
      <c r="AM7" s="279">
        <v>171.155</v>
      </c>
      <c r="AN7" s="92">
        <v>0.44950828670516002</v>
      </c>
      <c r="AO7" s="279">
        <v>178.13800000000001</v>
      </c>
      <c r="AP7" s="92">
        <v>0.46784789913869801</v>
      </c>
      <c r="AQ7" s="279">
        <v>189.62899999999999</v>
      </c>
      <c r="AR7" s="92">
        <v>0.49802697496195097</v>
      </c>
      <c r="AS7" s="279">
        <v>198.02600000000001</v>
      </c>
      <c r="AT7" s="92">
        <v>0.52008020789971698</v>
      </c>
      <c r="AU7" s="280"/>
      <c r="AV7" s="280"/>
      <c r="AW7" s="280"/>
      <c r="AX7" s="280"/>
      <c r="AY7" s="280"/>
      <c r="AZ7" s="280"/>
      <c r="BA7" s="280"/>
      <c r="BB7" s="280"/>
      <c r="BC7" s="279"/>
      <c r="BD7" s="92"/>
      <c r="BE7" s="281"/>
      <c r="BF7" s="282"/>
      <c r="BG7" s="269" t="s">
        <v>245</v>
      </c>
      <c r="BH7" s="92">
        <v>0.98694060964832198</v>
      </c>
      <c r="BI7" s="92">
        <v>0.98824589210277802</v>
      </c>
      <c r="BJ7" s="92">
        <v>0.98704828888500795</v>
      </c>
      <c r="BK7" s="92">
        <v>0.97990469074391895</v>
      </c>
      <c r="BL7" s="92">
        <v>0.94549198249293198</v>
      </c>
      <c r="BM7" s="92">
        <v>0.86939953067610698</v>
      </c>
      <c r="BN7" s="92">
        <v>0.79058681853533697</v>
      </c>
      <c r="BO7" s="92">
        <v>0.66098787700327899</v>
      </c>
      <c r="BP7" s="92">
        <v>0.59346229453948096</v>
      </c>
      <c r="BQ7" s="92">
        <v>0.51065696152830997</v>
      </c>
      <c r="BR7" s="92">
        <v>0.478263895545888</v>
      </c>
      <c r="BS7" s="92">
        <v>0.42707423695472602</v>
      </c>
      <c r="BT7" s="92">
        <v>0.41972053298595802</v>
      </c>
      <c r="BU7" s="92">
        <v>0.44950828670516002</v>
      </c>
      <c r="BV7" s="92">
        <v>0.46784789913869801</v>
      </c>
      <c r="BW7" s="92">
        <v>0.49802697496195097</v>
      </c>
      <c r="BX7" s="92">
        <v>0.52008020789971698</v>
      </c>
      <c r="BY7" s="92">
        <v>0.76840582352027498</v>
      </c>
      <c r="BZ7" s="92">
        <v>0.87499406274110103</v>
      </c>
      <c r="CA7" s="92">
        <v>0.93404571881912102</v>
      </c>
      <c r="CB7" s="92">
        <v>0.93864404560328296</v>
      </c>
      <c r="CC7" s="92">
        <v>0.93150906507107401</v>
      </c>
    </row>
    <row r="8" spans="1:81">
      <c r="A8" s="148">
        <v>2021</v>
      </c>
      <c r="B8" s="90">
        <f>'[1]Réserves 2021'!Q$60</f>
        <v>0</v>
      </c>
      <c r="C8" s="279">
        <v>299.286</v>
      </c>
      <c r="D8" s="92">
        <v>0.76840582352027498</v>
      </c>
      <c r="E8" s="279">
        <v>340.80099999999999</v>
      </c>
      <c r="F8" s="92">
        <v>0.87499406274110103</v>
      </c>
      <c r="G8" s="279">
        <v>363.80099999999999</v>
      </c>
      <c r="H8" s="92">
        <v>0.93404571881912102</v>
      </c>
      <c r="I8" s="279">
        <v>365.59199999999998</v>
      </c>
      <c r="J8" s="92">
        <v>0.93864404560328296</v>
      </c>
      <c r="K8" s="279">
        <v>362.81299999999999</v>
      </c>
      <c r="L8" s="92">
        <v>0.93150906507107401</v>
      </c>
      <c r="M8" s="279">
        <v>373.88200000000001</v>
      </c>
      <c r="N8" s="92">
        <v>0.95992831642444798</v>
      </c>
      <c r="O8" s="279">
        <v>374.81099999999998</v>
      </c>
      <c r="P8" s="92">
        <v>0.962313489837338</v>
      </c>
      <c r="Q8" s="279">
        <v>372.25599999999997</v>
      </c>
      <c r="R8" s="92">
        <v>0.95575362108606299</v>
      </c>
      <c r="S8" s="279">
        <v>372.46199999999999</v>
      </c>
      <c r="T8" s="92">
        <v>0.95628251852745705</v>
      </c>
      <c r="U8" s="279">
        <v>365.32600000000002</v>
      </c>
      <c r="V8" s="92">
        <v>0.93796110036342495</v>
      </c>
      <c r="W8" s="279">
        <v>358.28899999999999</v>
      </c>
      <c r="X8" s="92">
        <v>0.919893861066858</v>
      </c>
      <c r="Y8" s="279">
        <v>329.697</v>
      </c>
      <c r="Z8" s="92">
        <v>0.85107366100526805</v>
      </c>
      <c r="AA8" s="279">
        <v>321.89999999999998</v>
      </c>
      <c r="AB8" s="92">
        <v>0.83094663123290602</v>
      </c>
      <c r="AC8" s="279">
        <v>274.90199999999999</v>
      </c>
      <c r="AD8" s="92">
        <v>0.70580079822434205</v>
      </c>
      <c r="AE8" s="279">
        <v>243.79900000000001</v>
      </c>
      <c r="AF8" s="92">
        <v>0.62594498696370504</v>
      </c>
      <c r="AG8" s="279">
        <v>226.84299999999999</v>
      </c>
      <c r="AH8" s="92">
        <v>0.58241107911766599</v>
      </c>
      <c r="AI8" s="279">
        <v>204.108</v>
      </c>
      <c r="AJ8" s="92">
        <v>0.52403980081619705</v>
      </c>
      <c r="AK8" s="279">
        <v>217.006</v>
      </c>
      <c r="AL8" s="92">
        <v>0.55715494255942699</v>
      </c>
      <c r="AM8" s="279">
        <v>213.97900000000001</v>
      </c>
      <c r="AN8" s="92">
        <v>0.54938323112689802</v>
      </c>
      <c r="AO8" s="279">
        <v>203.709</v>
      </c>
      <c r="AP8" s="92">
        <v>0.52301538295640804</v>
      </c>
      <c r="AQ8" s="279">
        <v>194.26</v>
      </c>
      <c r="AR8" s="92">
        <v>0.49875542216157298</v>
      </c>
      <c r="AS8" s="279">
        <v>208.73</v>
      </c>
      <c r="AT8" s="92">
        <v>0.53590661622457103</v>
      </c>
      <c r="AU8" s="280"/>
      <c r="AV8" s="280"/>
      <c r="AW8" s="280"/>
      <c r="AX8" s="280"/>
      <c r="AY8" s="280"/>
      <c r="AZ8" s="280"/>
      <c r="BA8" s="280"/>
      <c r="BB8" s="280"/>
      <c r="BC8" s="279"/>
      <c r="BD8" s="92"/>
      <c r="BE8" s="281"/>
      <c r="BF8" s="282"/>
      <c r="BG8" s="269" t="s">
        <v>246</v>
      </c>
      <c r="BH8" s="92">
        <v>0.95992831642444798</v>
      </c>
      <c r="BI8" s="92">
        <v>0.962313489837338</v>
      </c>
      <c r="BJ8" s="92">
        <v>0.95575362108606299</v>
      </c>
      <c r="BK8" s="92">
        <v>0.95628251852745705</v>
      </c>
      <c r="BL8" s="92">
        <v>0.93796110036342495</v>
      </c>
      <c r="BM8" s="92">
        <v>0.919893861066858</v>
      </c>
      <c r="BN8" s="92">
        <v>0.85107366100526805</v>
      </c>
      <c r="BO8" s="92">
        <v>0.83094663123290602</v>
      </c>
      <c r="BP8" s="92">
        <v>0.70580079822434205</v>
      </c>
      <c r="BQ8" s="92">
        <v>0.62594498696370504</v>
      </c>
      <c r="BR8" s="92">
        <v>0.58241107911766599</v>
      </c>
      <c r="BS8" s="92">
        <v>0.52403980081619705</v>
      </c>
      <c r="BT8" s="92">
        <v>0.55715494255942699</v>
      </c>
      <c r="BU8" s="92">
        <v>0.54938323112689802</v>
      </c>
      <c r="BV8" s="92">
        <v>0.52301538295640804</v>
      </c>
      <c r="BW8" s="92">
        <v>0.49875542216157298</v>
      </c>
      <c r="BX8" s="92">
        <v>0.53590661622457103</v>
      </c>
      <c r="BY8" s="92">
        <v>0.74138327220631095</v>
      </c>
      <c r="BZ8" s="92">
        <v>0.85721181187169404</v>
      </c>
      <c r="CA8" s="92">
        <v>0.88490447110897696</v>
      </c>
      <c r="CB8" s="92">
        <v>0.91331345260912</v>
      </c>
      <c r="CC8" s="92">
        <v>0.95146852482544497</v>
      </c>
    </row>
    <row r="9" spans="1:81">
      <c r="A9" s="148">
        <v>2022</v>
      </c>
      <c r="B9" s="90">
        <v>389.48950000000002</v>
      </c>
      <c r="C9" s="279">
        <v>288.76100000000002</v>
      </c>
      <c r="D9" s="92">
        <v>0.74138327220631095</v>
      </c>
      <c r="E9" s="279">
        <v>333.875</v>
      </c>
      <c r="F9" s="92">
        <v>0.85721181187169404</v>
      </c>
      <c r="G9" s="279">
        <v>344.661</v>
      </c>
      <c r="H9" s="92">
        <v>0.88490447110897696</v>
      </c>
      <c r="I9" s="279">
        <v>355.726</v>
      </c>
      <c r="J9" s="92">
        <v>0.91331345260912</v>
      </c>
      <c r="K9" s="279">
        <v>370.58699999999999</v>
      </c>
      <c r="L9" s="92">
        <v>0.95146852482544497</v>
      </c>
      <c r="M9" s="279">
        <v>369.84800000000001</v>
      </c>
      <c r="N9" s="92">
        <v>0.94957116944102504</v>
      </c>
      <c r="O9" s="279">
        <v>360.63499999999999</v>
      </c>
      <c r="P9" s="92">
        <v>0.92591712998681597</v>
      </c>
      <c r="Q9" s="279">
        <v>356.29300000000001</v>
      </c>
      <c r="R9" s="92">
        <v>0.91476920430460895</v>
      </c>
      <c r="S9" s="279">
        <v>342.02499999999998</v>
      </c>
      <c r="T9" s="92">
        <v>0.87813663782977502</v>
      </c>
      <c r="U9" s="279">
        <v>316.40100000000001</v>
      </c>
      <c r="V9" s="92">
        <v>0.81234795803224502</v>
      </c>
      <c r="W9" s="279">
        <v>282.96800000000002</v>
      </c>
      <c r="X9" s="92">
        <v>0.72650995726457301</v>
      </c>
      <c r="Y9" s="279">
        <v>224.69399999999999</v>
      </c>
      <c r="Z9" s="92">
        <v>0.57689360046933202</v>
      </c>
      <c r="AA9" s="279">
        <v>192.642</v>
      </c>
      <c r="AB9" s="92">
        <v>0.50099149202320303</v>
      </c>
      <c r="AC9" s="279">
        <v>149.18100000000001</v>
      </c>
      <c r="AD9" s="92">
        <v>0.405064494100429</v>
      </c>
      <c r="AE9" s="279">
        <v>141.30000000000001</v>
      </c>
      <c r="AF9" s="92">
        <v>0.36278256538366299</v>
      </c>
      <c r="AG9" s="279">
        <v>131.15600000000001</v>
      </c>
      <c r="AH9" s="92">
        <v>0.33673821758994799</v>
      </c>
      <c r="AI9" s="279">
        <v>120.21599999999999</v>
      </c>
      <c r="AJ9" s="92">
        <v>0.30865016900327202</v>
      </c>
      <c r="AK9" s="279">
        <v>110.492</v>
      </c>
      <c r="AL9" s="92">
        <v>0.28368415579880801</v>
      </c>
      <c r="AM9" s="279">
        <v>105.396</v>
      </c>
      <c r="AN9" s="92">
        <v>0.270600362782565</v>
      </c>
      <c r="AO9" s="279">
        <v>100.834</v>
      </c>
      <c r="AP9" s="92">
        <v>0.25888759517265603</v>
      </c>
      <c r="AQ9" s="279">
        <v>94.870999999999995</v>
      </c>
      <c r="AR9" s="92">
        <v>0.243577811468602</v>
      </c>
      <c r="AS9" s="279">
        <v>106.376</v>
      </c>
      <c r="AT9" s="92">
        <v>0.27311647682415102</v>
      </c>
      <c r="AU9" s="280"/>
      <c r="AV9" s="280"/>
      <c r="AW9" s="280"/>
      <c r="AX9" s="280"/>
      <c r="AY9" s="280"/>
      <c r="AZ9" s="280"/>
      <c r="BA9" s="280"/>
      <c r="BB9" s="280"/>
      <c r="BC9" s="279"/>
      <c r="BD9" s="92"/>
      <c r="BE9" s="281"/>
      <c r="BF9" s="282"/>
      <c r="BG9" s="269" t="s">
        <v>247</v>
      </c>
      <c r="BH9" s="92">
        <v>0.94957116944102504</v>
      </c>
      <c r="BI9" s="92">
        <v>0.92591712998681597</v>
      </c>
      <c r="BJ9" s="92">
        <v>0.91476920430460895</v>
      </c>
      <c r="BK9" s="92">
        <v>0.87813663782977502</v>
      </c>
      <c r="BL9" s="92">
        <v>0.81234795803224502</v>
      </c>
      <c r="BM9" s="92">
        <v>0.72650995726457301</v>
      </c>
      <c r="BN9" s="92">
        <v>0.57689360046933202</v>
      </c>
      <c r="BO9" s="92">
        <v>0.50099149202320303</v>
      </c>
      <c r="BP9" s="92">
        <v>0.405064494100429</v>
      </c>
      <c r="BQ9" s="92">
        <v>0.36278256538366299</v>
      </c>
      <c r="BR9" s="92">
        <v>0.33673821758994799</v>
      </c>
      <c r="BS9" s="92">
        <v>0.30865016900327202</v>
      </c>
      <c r="BT9" s="92">
        <v>0.28368415579880801</v>
      </c>
      <c r="BU9" s="92">
        <v>0.270600362782565</v>
      </c>
      <c r="BV9" s="92">
        <v>0.25888759517265603</v>
      </c>
      <c r="BW9" s="92">
        <v>0.243577811468602</v>
      </c>
      <c r="BX9" s="92">
        <v>0.27311647682415102</v>
      </c>
      <c r="BY9" s="92"/>
    </row>
    <row r="10" spans="1:81">
      <c r="A10" s="148">
        <v>2023</v>
      </c>
      <c r="B10" s="90">
        <f>'Réserves 2023'!R$60</f>
        <v>389.48949999999996</v>
      </c>
      <c r="C10" s="279">
        <f>'Réserves 2023'!S$60</f>
        <v>122.79</v>
      </c>
      <c r="D10" s="92">
        <f>'Réserves 2023'!T$60</f>
        <v>0.31525881955739504</v>
      </c>
      <c r="E10" s="279">
        <f>'Réserves 2023'!U$60</f>
        <v>164.03500000000003</v>
      </c>
      <c r="F10" s="92">
        <f>'Réserves 2023'!V$60</f>
        <v>0.43021116500716655</v>
      </c>
      <c r="G10" s="279">
        <f>'Réserves 2023'!W$60</f>
        <v>173.84</v>
      </c>
      <c r="H10" s="92">
        <f>'Réserves 2023'!X$60</f>
        <v>0.45592653351324913</v>
      </c>
      <c r="I10" s="279">
        <f>'Réserves 2023'!Y$60</f>
        <v>217.34770199999997</v>
      </c>
      <c r="J10" s="92">
        <f>'Réserves 2023'!Z$60</f>
        <v>0.55803224990660849</v>
      </c>
      <c r="K10" s="279">
        <f>'Réserves 2023'!AA$60</f>
        <v>248.223434</v>
      </c>
      <c r="L10" s="92">
        <f>'Réserves 2023'!AB$60</f>
        <v>0.6373045589162224</v>
      </c>
      <c r="M10" s="279">
        <f>'Réserves 2023'!AC$60</f>
        <v>294.38077899999996</v>
      </c>
      <c r="N10" s="92">
        <f>'Réserves 2023'!AD$60</f>
        <v>0.75581184858641881</v>
      </c>
      <c r="O10" s="279">
        <f>'Réserves 2023'!AE$60</f>
        <v>301.857303</v>
      </c>
      <c r="P10" s="92">
        <f>'Réserves 2023'!AF$60</f>
        <v>0.7750075496258565</v>
      </c>
      <c r="Q10" s="279">
        <f>'Réserves 2023'!AG$60</f>
        <v>309.183898</v>
      </c>
      <c r="R10" s="92">
        <f>'Réserves 2023'!AH$60</f>
        <v>0.79381831345902787</v>
      </c>
      <c r="S10" s="279">
        <f>'Réserves 2023'!AI$60</f>
        <v>311.82210600000002</v>
      </c>
      <c r="T10" s="92">
        <f>'Réserves 2023'!AJ$60</f>
        <v>0.80059181569721405</v>
      </c>
      <c r="U10" s="279">
        <f>'Réserves 2023'!AK$60</f>
        <v>308.68469000000005</v>
      </c>
      <c r="V10" s="92">
        <f>'Réserves 2023'!AL$60</f>
        <v>0.79253661523609775</v>
      </c>
      <c r="W10" s="279">
        <f>'Réserves 2023'!AM$60</f>
        <v>294.859555</v>
      </c>
      <c r="X10" s="92">
        <f>'Réserves 2023'!AN$60</f>
        <v>0.75704108839904549</v>
      </c>
      <c r="Y10" s="279">
        <f>'Réserves 2023'!AO$60</f>
        <v>273.39022999999997</v>
      </c>
      <c r="Z10" s="92">
        <f>'Réserves 2023'!AP$60</f>
        <v>0.70191938421960032</v>
      </c>
      <c r="AA10" s="279">
        <f>'Réserves 2023'!AQ$60</f>
        <v>251.48141399999997</v>
      </c>
      <c r="AB10" s="92">
        <f>'Réserves 2023'!AR$60</f>
        <v>0.65401132056334954</v>
      </c>
      <c r="AC10" s="279">
        <f>'Réserves 2023'!AS$60</f>
        <v>221.377723</v>
      </c>
      <c r="AD10" s="92">
        <f>'Réserves 2023'!AT$60</f>
        <v>0.60109702557363165</v>
      </c>
      <c r="AE10" s="279">
        <f>'Réserves 2023'!AU$60</f>
        <v>194.96677899999997</v>
      </c>
      <c r="AF10" s="92">
        <f>'Réserves 2023'!AV$60</f>
        <v>0.50057005131075416</v>
      </c>
      <c r="AG10" s="279">
        <f>'Réserves 2023'!AW$60</f>
        <v>182.53969500000002</v>
      </c>
      <c r="AH10" s="92">
        <f>'Réserves 2023'!AX$60</f>
        <v>0.46866396911855146</v>
      </c>
      <c r="AI10" s="279">
        <f>'Réserves 2023'!AY$60</f>
        <v>174.710948</v>
      </c>
      <c r="AJ10" s="92">
        <f>'Réserves 2023'!AZ$60</f>
        <v>0.44856394845047176</v>
      </c>
      <c r="AK10" s="279">
        <f>'Réserves 2023'!BA$60</f>
        <v>164.02165116000003</v>
      </c>
      <c r="AL10" s="92">
        <f>'Réserves 2023'!BB$60</f>
        <v>0.42111957102823067</v>
      </c>
      <c r="AM10" s="279">
        <f>'Réserves 2023'!BC$60</f>
        <v>155.01410825000002</v>
      </c>
      <c r="AN10" s="92">
        <f>'Réserves 2023'!BD$60</f>
        <v>0.39799303511391204</v>
      </c>
      <c r="AO10" s="279">
        <f>'Réserves 2023'!BE$60</f>
        <v>146.18377100000001</v>
      </c>
      <c r="AP10" s="92">
        <f>'Réserves 2023'!BF$60</f>
        <v>0.37532146822956719</v>
      </c>
      <c r="AQ10" s="279">
        <f>'Réserves 2023'!BG$60</f>
        <v>145.69595999999999</v>
      </c>
      <c r="AR10" s="92">
        <f>'Réserves 2023'!BH$60</f>
        <v>0.37406903138595521</v>
      </c>
      <c r="AS10" s="279">
        <f>'Réserves 2023'!BI$60</f>
        <v>199.18803700000001</v>
      </c>
      <c r="AT10" s="92">
        <f>'Réserves 2023'!BJ$60</f>
        <v>0.51140797633825819</v>
      </c>
      <c r="AU10" s="280"/>
      <c r="AV10" s="280"/>
      <c r="AW10" s="280"/>
      <c r="AX10" s="280"/>
      <c r="AY10" s="280"/>
      <c r="AZ10" s="280"/>
      <c r="BA10" s="280"/>
      <c r="BB10" s="280"/>
      <c r="BC10" s="279"/>
      <c r="BD10" s="92"/>
      <c r="BE10" s="281"/>
      <c r="BF10" s="282"/>
      <c r="BG10" s="269" t="s">
        <v>248</v>
      </c>
      <c r="BH10" s="92">
        <f>N10</f>
        <v>0.75581184858641881</v>
      </c>
      <c r="BI10" s="92">
        <f>P10</f>
        <v>0.7750075496258565</v>
      </c>
      <c r="BJ10" s="92">
        <f>R10</f>
        <v>0.79381831345902787</v>
      </c>
      <c r="BK10" s="92">
        <f>T10</f>
        <v>0.80059181569721405</v>
      </c>
      <c r="BL10" s="92">
        <f>V10</f>
        <v>0.79253661523609775</v>
      </c>
      <c r="BM10" s="92">
        <f>X10</f>
        <v>0.75704108839904549</v>
      </c>
      <c r="BN10" s="92">
        <f>Z10</f>
        <v>0.70191938421960032</v>
      </c>
      <c r="BO10" s="92">
        <f>AB10</f>
        <v>0.65401132056334954</v>
      </c>
      <c r="BP10" s="92">
        <f>AD10</f>
        <v>0.60109702557363165</v>
      </c>
      <c r="BQ10" s="92">
        <f>AF10</f>
        <v>0.50057005131075416</v>
      </c>
      <c r="BR10" s="92">
        <f>AH10</f>
        <v>0.46866396911855146</v>
      </c>
      <c r="BS10" s="92">
        <f>AJ10</f>
        <v>0.44856394845047176</v>
      </c>
      <c r="BT10" s="92">
        <f>AL10</f>
        <v>0.42111957102823067</v>
      </c>
      <c r="BU10" s="92">
        <f>AN10</f>
        <v>0.39799303511391204</v>
      </c>
      <c r="BV10" s="92">
        <f>AP10</f>
        <v>0.37532146822956719</v>
      </c>
      <c r="BW10" s="92">
        <f>AR10</f>
        <v>0.37406903138595521</v>
      </c>
      <c r="BX10" s="92">
        <f>AT10</f>
        <v>0.51140797633825819</v>
      </c>
      <c r="BY10" s="92"/>
    </row>
    <row r="11" spans="1:81">
      <c r="A11" s="283"/>
      <c r="B11" s="284"/>
      <c r="C11" s="285"/>
      <c r="D11" s="268"/>
      <c r="E11" s="285"/>
      <c r="F11" s="268"/>
      <c r="G11" s="285"/>
      <c r="H11" s="268"/>
      <c r="I11" s="285"/>
      <c r="J11" s="268"/>
      <c r="K11" s="286"/>
      <c r="L11" s="287"/>
      <c r="M11" s="285"/>
      <c r="N11" s="268"/>
      <c r="O11" s="285"/>
      <c r="P11" s="268"/>
      <c r="Q11" s="285"/>
      <c r="R11" s="268"/>
      <c r="S11" s="285"/>
      <c r="T11" s="268"/>
      <c r="U11" s="285"/>
      <c r="V11" s="268"/>
      <c r="W11" s="285"/>
      <c r="X11" s="268"/>
      <c r="Y11" s="285"/>
      <c r="Z11" s="268"/>
      <c r="AA11" s="285"/>
      <c r="AB11" s="268"/>
      <c r="AC11" s="285"/>
      <c r="AD11" s="268"/>
      <c r="AE11" s="285"/>
      <c r="AF11" s="268"/>
      <c r="AG11" s="285"/>
      <c r="AH11" s="268"/>
      <c r="AI11" s="285"/>
      <c r="AJ11" s="268"/>
      <c r="AK11" s="285"/>
      <c r="AL11" s="268"/>
      <c r="AM11" s="285"/>
      <c r="AN11" s="268"/>
      <c r="AO11" s="285"/>
      <c r="AP11" s="268"/>
      <c r="AQ11" s="285"/>
      <c r="AR11" s="268"/>
      <c r="AS11" s="285"/>
      <c r="AT11" s="268"/>
      <c r="AU11" s="268"/>
      <c r="AV11" s="268"/>
      <c r="AW11" s="268"/>
      <c r="AX11" s="268"/>
      <c r="AY11" s="268"/>
      <c r="AZ11" s="268"/>
      <c r="BA11" s="268"/>
      <c r="BB11" s="268"/>
      <c r="BC11" s="285"/>
      <c r="BD11" s="268"/>
      <c r="BE11" s="281"/>
      <c r="BF11" s="282"/>
      <c r="BM11" s="268"/>
      <c r="BN11" s="281"/>
      <c r="BO11" s="282"/>
      <c r="BP11" s="288"/>
    </row>
    <row r="13" spans="1:81">
      <c r="B13" s="160" t="s">
        <v>249</v>
      </c>
      <c r="C13" s="289" t="s">
        <v>250</v>
      </c>
      <c r="D13" s="160" t="s">
        <v>251</v>
      </c>
      <c r="E13" s="160" t="s">
        <v>252</v>
      </c>
      <c r="F13" s="160" t="s">
        <v>253</v>
      </c>
      <c r="G13" s="160" t="s">
        <v>254</v>
      </c>
      <c r="H13" s="160" t="s">
        <v>255</v>
      </c>
      <c r="I13" s="160" t="s">
        <v>256</v>
      </c>
      <c r="J13" s="160" t="s">
        <v>257</v>
      </c>
      <c r="K13" s="290" t="s">
        <v>258</v>
      </c>
      <c r="L13" s="290" t="s">
        <v>259</v>
      </c>
      <c r="M13" s="160" t="s">
        <v>260</v>
      </c>
    </row>
    <row r="14" spans="1:81">
      <c r="B14" s="291" t="s">
        <v>217</v>
      </c>
      <c r="C14" s="291" t="s">
        <v>218</v>
      </c>
      <c r="D14" s="291" t="s">
        <v>222</v>
      </c>
      <c r="E14" s="291" t="s">
        <v>223</v>
      </c>
      <c r="F14" s="291" t="s">
        <v>224</v>
      </c>
      <c r="G14" s="291" t="s">
        <v>225</v>
      </c>
      <c r="H14" s="291" t="s">
        <v>226</v>
      </c>
      <c r="I14" s="291" t="s">
        <v>212</v>
      </c>
      <c r="J14" s="291" t="s">
        <v>213</v>
      </c>
      <c r="K14" s="291" t="s">
        <v>214</v>
      </c>
      <c r="L14" s="291" t="s">
        <v>215</v>
      </c>
      <c r="M14" s="291" t="s">
        <v>216</v>
      </c>
      <c r="T14" s="292"/>
      <c r="U14" s="292"/>
      <c r="BI14" s="285"/>
      <c r="BK14" s="285"/>
      <c r="BM14" s="285"/>
      <c r="BO14" s="285"/>
      <c r="BQ14" s="285"/>
      <c r="BS14" s="285"/>
      <c r="BU14" s="285"/>
    </row>
    <row r="15" spans="1:81">
      <c r="A15" s="269" t="s">
        <v>242</v>
      </c>
      <c r="B15" s="293">
        <f t="shared" ref="B15:H15" si="0">IF(HLOOKUP(B$14,$C$3:$AT$12,2,0)="","",HLOOKUP(B$14,$C$3:$AT$12,2,0))</f>
        <v>0.74752581138257201</v>
      </c>
      <c r="C15" s="293">
        <f t="shared" si="0"/>
        <v>0.70659801021499502</v>
      </c>
      <c r="D15" s="293">
        <f t="shared" si="0"/>
        <v>0.60588275189248697</v>
      </c>
      <c r="E15" s="293">
        <f t="shared" si="0"/>
        <v>0.41895564981035999</v>
      </c>
      <c r="F15" s="293">
        <f t="shared" si="0"/>
        <v>0.35393548589047302</v>
      </c>
      <c r="G15" s="293">
        <f t="shared" si="0"/>
        <v>0.31470061926449899</v>
      </c>
      <c r="H15" s="293">
        <f t="shared" si="0"/>
        <v>0.31613270102619501</v>
      </c>
      <c r="I15" s="293">
        <f>IF(HLOOKUP(I$14,$C$3:$AT$12,3,0)="","",HLOOKUP(I$14,$C$3:$AT$12,3,0))</f>
        <v>0.44376700627711602</v>
      </c>
      <c r="J15" s="293">
        <f>IF(HLOOKUP(J$14,$C$3:$AT$12,3,0)="","",HLOOKUP(J$14,$C$3:$AT$12,3,0))</f>
        <v>0.74790431375849797</v>
      </c>
      <c r="K15" s="293">
        <f>IF(HLOOKUP(K$14,$C$3:$AT$12,3,0)="","",HLOOKUP(K$14,$C$3:$AT$12,3,0))</f>
        <v>0.88585327618654297</v>
      </c>
      <c r="L15" s="293">
        <f>IF(HLOOKUP(L$14,$C$3:$AT$12,3,0)="","",HLOOKUP(L$14,$C$3:$AT$12,3,0))</f>
        <v>0.92486529779150195</v>
      </c>
      <c r="M15" s="293">
        <f>IF(HLOOKUP(M$14,$C$3:$AT$12,3,0)="","",HLOOKUP(M$14,$C$3:$AT$12,3,0))</f>
        <v>0.961878321525656</v>
      </c>
      <c r="T15" s="294"/>
      <c r="U15" s="294"/>
      <c r="X15" s="294"/>
      <c r="Z15" s="294"/>
      <c r="AB15" s="294"/>
    </row>
    <row r="16" spans="1:81">
      <c r="A16" s="278" t="s">
        <v>243</v>
      </c>
      <c r="B16" s="293">
        <f t="shared" ref="B16:H16" si="1">IF(HLOOKUP(B$14,$C$3:$AT$12,3,0)="","",HLOOKUP(B$14,$C$3:$AT$12,3,0))</f>
        <v>0.98625031398732999</v>
      </c>
      <c r="C16" s="293">
        <f t="shared" si="1"/>
        <v>0.98777060447328402</v>
      </c>
      <c r="D16" s="293">
        <f t="shared" si="1"/>
        <v>0.94381106313808505</v>
      </c>
      <c r="E16" s="293">
        <f t="shared" si="1"/>
        <v>0.75043169148098099</v>
      </c>
      <c r="F16" s="293">
        <f t="shared" si="1"/>
        <v>0.64297738271553095</v>
      </c>
      <c r="G16" s="293">
        <f t="shared" si="1"/>
        <v>0.60731475405093005</v>
      </c>
      <c r="H16" s="293">
        <f t="shared" si="1"/>
        <v>0.61481809776940799</v>
      </c>
      <c r="I16" s="293">
        <f>IF(HLOOKUP(I$14,$C$3:$AT$12,4,0)="","",HLOOKUP(I$14,$C$3:$AT$12,4,0))</f>
        <v>0.68080853975136602</v>
      </c>
      <c r="J16" s="293">
        <f>IF(HLOOKUP(J$14,$C$3:$AT$12,4,0)="","",HLOOKUP(J$14,$C$3:$AT$12,4,0))</f>
        <v>0.74333340774581402</v>
      </c>
      <c r="K16" s="293">
        <f>IF(HLOOKUP(K$14,$C$3:$AT$12,4,0)="","",HLOOKUP(K$14,$C$3:$AT$12,4,0))</f>
        <v>0.87195231648240801</v>
      </c>
      <c r="L16" s="293">
        <f>IF(HLOOKUP(L$14,$C$3:$AT$12,4,0)="","",HLOOKUP(L$14,$C$3:$AT$12,4,0))</f>
        <v>0.88303539889247995</v>
      </c>
      <c r="M16" s="293">
        <f>IF(HLOOKUP(M$14,$C$3:$AT$12,4,0)="","",HLOOKUP(M$14,$C$3:$AT$12,4,0))</f>
        <v>0.91497936366823795</v>
      </c>
      <c r="T16" s="294"/>
      <c r="U16" s="294"/>
    </row>
    <row r="17" spans="1:21">
      <c r="A17" s="269" t="s">
        <v>244</v>
      </c>
      <c r="B17" s="293">
        <f t="shared" ref="B17:H17" si="2">IF(HLOOKUP(B$14,$C$3:$AT$12,4,0)="","",HLOOKUP(B$14,$C$3:$AT$12,4,0))</f>
        <v>0.96266025493715901</v>
      </c>
      <c r="C17" s="293">
        <f t="shared" si="2"/>
        <v>0.94540794016186103</v>
      </c>
      <c r="D17" s="293">
        <f t="shared" si="2"/>
        <v>0.74425524706475599</v>
      </c>
      <c r="E17" s="293">
        <f t="shared" si="2"/>
        <v>0.53940994404619202</v>
      </c>
      <c r="F17" s="293">
        <f t="shared" si="2"/>
        <v>0.41797402829337599</v>
      </c>
      <c r="G17" s="293">
        <f t="shared" si="2"/>
        <v>0.38172026772735101</v>
      </c>
      <c r="H17" s="293">
        <f t="shared" si="2"/>
        <v>0.60520799820359505</v>
      </c>
      <c r="I17" s="293">
        <f>IF(HLOOKUP(I$14,$C$3:$AT$12,5,0)="","",HLOOKUP(I$14,$C$3:$AT$12,5,0))</f>
        <v>0.81404452405120797</v>
      </c>
      <c r="J17" s="293">
        <f>IF(HLOOKUP(J$14,$C$3:$AT$12,5,0)="","",HLOOKUP(J$14,$C$3:$AT$12,5,0))</f>
        <v>0.85969526776018002</v>
      </c>
      <c r="K17" s="293">
        <f>IF(HLOOKUP(K$14,$C$3:$AT$12,5,0)="","",HLOOKUP(K$14,$C$3:$AT$12,5,0))</f>
        <v>0.88817248637923296</v>
      </c>
      <c r="L17" s="293">
        <f>IF(HLOOKUP(L$14,$C$3:$AT$12,5,0)="","",HLOOKUP(L$14,$C$3:$AT$12,5,0))</f>
        <v>0.94588855724267595</v>
      </c>
      <c r="M17" s="293">
        <f>IF(HLOOKUP(M$14,$C$3:$AT$12,5,0)="","",HLOOKUP(M$14,$C$3:$AT$12,5,0))</f>
        <v>0.97817657031125904</v>
      </c>
      <c r="T17" s="294"/>
      <c r="U17" s="294"/>
    </row>
    <row r="18" spans="1:21">
      <c r="A18" s="269" t="s">
        <v>245</v>
      </c>
      <c r="B18" s="293">
        <f t="shared" ref="B18:H18" si="3">IF(HLOOKUP(B$14,$C$3:$AT$12,5,0)="","",HLOOKUP(B$14,$C$3:$AT$12,5,0))</f>
        <v>0.98694060964832198</v>
      </c>
      <c r="C18" s="293">
        <f t="shared" si="3"/>
        <v>0.97990469074391895</v>
      </c>
      <c r="D18" s="293">
        <f t="shared" si="3"/>
        <v>0.79058681853533697</v>
      </c>
      <c r="E18" s="293">
        <f t="shared" si="3"/>
        <v>0.51065696152830997</v>
      </c>
      <c r="F18" s="293">
        <f t="shared" si="3"/>
        <v>0.41972053298595802</v>
      </c>
      <c r="G18" s="293">
        <f t="shared" si="3"/>
        <v>0.49802697496195097</v>
      </c>
      <c r="H18" s="293">
        <f t="shared" si="3"/>
        <v>0.52008020789971698</v>
      </c>
      <c r="I18" s="293">
        <f>IF(HLOOKUP(I$14,$C$3:$AT$12,6,0)="","",HLOOKUP(I$14,$C$3:$AT$12,6,0))</f>
        <v>0.76840582352027498</v>
      </c>
      <c r="J18" s="293">
        <f>IF(HLOOKUP(J$14,$C$3:$AT$12,6,0)="","",HLOOKUP(J$14,$C$3:$AT$12,6,0))</f>
        <v>0.87499406274110103</v>
      </c>
      <c r="K18" s="293">
        <f>IF(HLOOKUP(K$14,$C$3:$AT$12,6,0)="","",HLOOKUP(K$14,$C$3:$AT$12,6,0))</f>
        <v>0.93404571881912102</v>
      </c>
      <c r="L18" s="293">
        <f>IF(HLOOKUP(L$14,$C$3:$AT$12,6,0)="","",HLOOKUP(L$14,$C$3:$AT$12,6,0))</f>
        <v>0.93864404560328296</v>
      </c>
      <c r="M18" s="293">
        <f>IF(HLOOKUP(M$14,$C$3:$AT$12,6,0)="","",HLOOKUP(M$14,$C$3:$AT$12,6,0))</f>
        <v>0.93150906507107401</v>
      </c>
      <c r="T18" s="294"/>
      <c r="U18" s="294"/>
    </row>
    <row r="19" spans="1:21">
      <c r="A19" s="269" t="s">
        <v>246</v>
      </c>
      <c r="B19" s="293">
        <f t="shared" ref="B19:H19" si="4">IF(HLOOKUP(B$14,$C$3:$AT$12,6,0)="","",HLOOKUP(B$14,$C$3:$AT$12,6,0))</f>
        <v>0.95992831642444798</v>
      </c>
      <c r="C19" s="293">
        <f t="shared" si="4"/>
        <v>0.95628251852745705</v>
      </c>
      <c r="D19" s="293">
        <f t="shared" si="4"/>
        <v>0.85107366100526805</v>
      </c>
      <c r="E19" s="293">
        <f t="shared" si="4"/>
        <v>0.62594498696370504</v>
      </c>
      <c r="F19" s="293">
        <f t="shared" si="4"/>
        <v>0.55715494255942699</v>
      </c>
      <c r="G19" s="293">
        <f t="shared" si="4"/>
        <v>0.49875542216157298</v>
      </c>
      <c r="H19" s="293">
        <f t="shared" si="4"/>
        <v>0.53590661622457103</v>
      </c>
      <c r="I19" s="293">
        <f>IF(HLOOKUP(I$14,$C$3:$AT$12,7,0)="","",HLOOKUP(I$14,$C$3:$AT$12,7,0))</f>
        <v>0.74138327220631095</v>
      </c>
      <c r="J19" s="293">
        <f>IF(HLOOKUP(J$14,$C$3:$AT$12,7,0)="","",HLOOKUP(J$14,$C$3:$AT$12,7,0))</f>
        <v>0.85721181187169404</v>
      </c>
      <c r="K19" s="293">
        <f>IF(HLOOKUP(K$14,$C$3:$AT$12,7,0)="","",HLOOKUP(K$14,$C$3:$AT$12,7,0))</f>
        <v>0.88490447110897696</v>
      </c>
      <c r="L19" s="293">
        <f>IF(HLOOKUP(L$14,$C$3:$AT$12,7,0)="","",HLOOKUP(L$14,$C$3:$AT$12,7,0))</f>
        <v>0.91331345260912</v>
      </c>
      <c r="M19" s="293">
        <f>IF(HLOOKUP(M$14,$C$3:$AT$12,7,0)="","",HLOOKUP(M$14,$C$3:$AT$12,7,0))</f>
        <v>0.95146852482544497</v>
      </c>
      <c r="T19" s="294"/>
      <c r="U19" s="294"/>
    </row>
    <row r="20" spans="1:21">
      <c r="A20" s="269" t="s">
        <v>247</v>
      </c>
      <c r="B20" s="293">
        <f t="shared" ref="B20:H20" si="5">IF(HLOOKUP(B$14,$C$3:$AT$12,7,0)="","",HLOOKUP(B$14,$C$3:$AT$12,7,0))</f>
        <v>0.94957116944102504</v>
      </c>
      <c r="C20" s="293">
        <f t="shared" si="5"/>
        <v>0.87813663782977502</v>
      </c>
      <c r="D20" s="293">
        <f t="shared" si="5"/>
        <v>0.57689360046933202</v>
      </c>
      <c r="E20" s="293">
        <f t="shared" si="5"/>
        <v>0.36278256538366299</v>
      </c>
      <c r="F20" s="293">
        <f t="shared" si="5"/>
        <v>0.28368415579880801</v>
      </c>
      <c r="G20" s="293">
        <f t="shared" si="5"/>
        <v>0.243577811468602</v>
      </c>
      <c r="H20" s="293">
        <f t="shared" si="5"/>
        <v>0.27311647682415102</v>
      </c>
      <c r="I20" s="293">
        <f t="shared" ref="I20:M21" si="6">IF(HLOOKUP(I$14,$C$3:$AT$12,8,0)="","",HLOOKUP(I$14,$C$3:$AT$12,8,0))</f>
        <v>0.31525881955739504</v>
      </c>
      <c r="J20" s="293">
        <f t="shared" si="6"/>
        <v>0.43021116500716655</v>
      </c>
      <c r="K20" s="293">
        <f t="shared" si="6"/>
        <v>0.45592653351324913</v>
      </c>
      <c r="L20" s="293">
        <f t="shared" si="6"/>
        <v>0.55803224990660849</v>
      </c>
      <c r="M20" s="293">
        <f t="shared" si="6"/>
        <v>0.6373045589162224</v>
      </c>
    </row>
    <row r="21" spans="1:21">
      <c r="A21" s="269" t="s">
        <v>248</v>
      </c>
      <c r="B21" s="293">
        <f t="shared" ref="B21:H21" si="7">IF(HLOOKUP(B$14,$C$3:$AT$12,8,0)="","",HLOOKUP(B$14,$C$3:$AT$12,8,0))</f>
        <v>0.75581184858641881</v>
      </c>
      <c r="C21" s="293">
        <f t="shared" si="7"/>
        <v>0.80059181569721405</v>
      </c>
      <c r="D21" s="293">
        <f t="shared" si="7"/>
        <v>0.70191938421960032</v>
      </c>
      <c r="E21" s="293">
        <f t="shared" si="7"/>
        <v>0.50057005131075416</v>
      </c>
      <c r="F21" s="293">
        <f t="shared" si="7"/>
        <v>0.42111957102823067</v>
      </c>
      <c r="G21" s="293">
        <f t="shared" si="7"/>
        <v>0.37406903138595521</v>
      </c>
      <c r="H21" s="293">
        <f t="shared" si="7"/>
        <v>0.51140797633825819</v>
      </c>
      <c r="I21" s="293">
        <f t="shared" si="6"/>
        <v>0.31525881955739504</v>
      </c>
      <c r="J21" s="293">
        <f t="shared" si="6"/>
        <v>0.43021116500716655</v>
      </c>
      <c r="K21" s="293">
        <f t="shared" si="6"/>
        <v>0.45592653351324913</v>
      </c>
      <c r="L21" s="293">
        <f t="shared" si="6"/>
        <v>0.55803224990660849</v>
      </c>
      <c r="M21" s="293">
        <f t="shared" si="6"/>
        <v>0.6373045589162224</v>
      </c>
    </row>
    <row r="22" spans="1:21">
      <c r="K22" s="265"/>
      <c r="L22" s="265"/>
    </row>
    <row r="23" spans="1:21">
      <c r="A23" s="295" t="s">
        <v>261</v>
      </c>
      <c r="B23" s="296">
        <f t="shared" ref="B23:M23" si="8">MIN(B15:B20)</f>
        <v>0.74752581138257201</v>
      </c>
      <c r="C23" s="296">
        <f t="shared" si="8"/>
        <v>0.70659801021499502</v>
      </c>
      <c r="D23" s="296">
        <f t="shared" si="8"/>
        <v>0.57689360046933202</v>
      </c>
      <c r="E23" s="296">
        <f t="shared" si="8"/>
        <v>0.36278256538366299</v>
      </c>
      <c r="F23" s="296">
        <f t="shared" si="8"/>
        <v>0.28368415579880801</v>
      </c>
      <c r="G23" s="296">
        <f t="shared" si="8"/>
        <v>0.243577811468602</v>
      </c>
      <c r="H23" s="296">
        <f t="shared" si="8"/>
        <v>0.27311647682415102</v>
      </c>
      <c r="I23" s="296">
        <f t="shared" si="8"/>
        <v>0.31525881955739504</v>
      </c>
      <c r="J23" s="296">
        <f t="shared" si="8"/>
        <v>0.43021116500716655</v>
      </c>
      <c r="K23" s="296">
        <f t="shared" si="8"/>
        <v>0.45592653351324913</v>
      </c>
      <c r="L23" s="296">
        <f t="shared" si="8"/>
        <v>0.55803224990660849</v>
      </c>
      <c r="M23" s="296">
        <f t="shared" si="8"/>
        <v>0.6373045589162224</v>
      </c>
    </row>
    <row r="24" spans="1:21">
      <c r="A24" s="295" t="s">
        <v>262</v>
      </c>
      <c r="B24" s="296">
        <f t="shared" ref="B24:M24" si="9">MAX(B15:B20)</f>
        <v>0.98694060964832198</v>
      </c>
      <c r="C24" s="296">
        <f t="shared" si="9"/>
        <v>0.98777060447328402</v>
      </c>
      <c r="D24" s="296">
        <f t="shared" si="9"/>
        <v>0.94381106313808505</v>
      </c>
      <c r="E24" s="296">
        <f t="shared" si="9"/>
        <v>0.75043169148098099</v>
      </c>
      <c r="F24" s="296">
        <f t="shared" si="9"/>
        <v>0.64297738271553095</v>
      </c>
      <c r="G24" s="296">
        <f t="shared" si="9"/>
        <v>0.60731475405093005</v>
      </c>
      <c r="H24" s="296">
        <f t="shared" si="9"/>
        <v>0.61481809776940799</v>
      </c>
      <c r="I24" s="296">
        <f t="shared" si="9"/>
        <v>0.81404452405120797</v>
      </c>
      <c r="J24" s="296">
        <f t="shared" si="9"/>
        <v>0.87499406274110103</v>
      </c>
      <c r="K24" s="296">
        <f t="shared" si="9"/>
        <v>0.93404571881912102</v>
      </c>
      <c r="L24" s="296">
        <f t="shared" si="9"/>
        <v>0.94588855724267595</v>
      </c>
      <c r="M24" s="296">
        <f t="shared" si="9"/>
        <v>0.97817657031125904</v>
      </c>
    </row>
    <row r="25" spans="1:21">
      <c r="A25" s="295" t="s">
        <v>263</v>
      </c>
      <c r="B25" s="296">
        <f t="shared" ref="B25:M25" si="10">B24-B23</f>
        <v>0.23941479826574996</v>
      </c>
      <c r="C25" s="296">
        <f t="shared" si="10"/>
        <v>0.281172594258289</v>
      </c>
      <c r="D25" s="296">
        <f t="shared" si="10"/>
        <v>0.36691746266875302</v>
      </c>
      <c r="E25" s="296">
        <f t="shared" si="10"/>
        <v>0.387649126097318</v>
      </c>
      <c r="F25" s="296">
        <f t="shared" si="10"/>
        <v>0.35929322691672294</v>
      </c>
      <c r="G25" s="296">
        <f t="shared" si="10"/>
        <v>0.36373694258232803</v>
      </c>
      <c r="H25" s="296">
        <f t="shared" si="10"/>
        <v>0.34170162094525697</v>
      </c>
      <c r="I25" s="296">
        <f t="shared" si="10"/>
        <v>0.49878570449381293</v>
      </c>
      <c r="J25" s="296">
        <f t="shared" si="10"/>
        <v>0.44478289773393448</v>
      </c>
      <c r="K25" s="296">
        <f t="shared" si="10"/>
        <v>0.47811918530587189</v>
      </c>
      <c r="L25" s="296">
        <f t="shared" si="10"/>
        <v>0.38785630733606746</v>
      </c>
      <c r="M25" s="296">
        <f t="shared" si="10"/>
        <v>0.34087201139503664</v>
      </c>
    </row>
    <row r="26" spans="1:21">
      <c r="K26" s="265"/>
      <c r="L26" s="265"/>
    </row>
    <row r="27" spans="1:21">
      <c r="K27" s="265"/>
      <c r="L27" s="265"/>
    </row>
    <row r="28" spans="1:21">
      <c r="K28" s="265"/>
      <c r="L28" s="265"/>
    </row>
    <row r="29" spans="1:21">
      <c r="K29" s="265"/>
      <c r="L29" s="265"/>
    </row>
    <row r="30" spans="1:21">
      <c r="K30" s="265"/>
      <c r="L30" s="265"/>
    </row>
    <row r="31" spans="1:21">
      <c r="K31" s="265"/>
      <c r="L31" s="265"/>
    </row>
    <row r="32" spans="1:21">
      <c r="K32" s="265"/>
      <c r="L32" s="265"/>
    </row>
    <row r="33" spans="1:54">
      <c r="K33" s="265"/>
      <c r="L33" s="265"/>
    </row>
    <row r="34" spans="1:54" s="261" customFormat="1">
      <c r="A34" s="261" t="s">
        <v>264</v>
      </c>
      <c r="C34" s="262"/>
      <c r="K34" s="263"/>
      <c r="L34" s="263"/>
      <c r="N34" s="264"/>
      <c r="P34" s="264"/>
      <c r="R34" s="264"/>
      <c r="S34" s="264"/>
    </row>
    <row r="35" spans="1:54">
      <c r="K35" s="265"/>
      <c r="L35" s="265"/>
    </row>
    <row r="36" spans="1:54" s="24" customFormat="1">
      <c r="B36" s="20" t="s">
        <v>210</v>
      </c>
      <c r="C36" s="266" t="s">
        <v>211</v>
      </c>
      <c r="D36" s="266" t="s">
        <v>212</v>
      </c>
      <c r="E36" s="266" t="s">
        <v>211</v>
      </c>
      <c r="F36" s="266" t="s">
        <v>213</v>
      </c>
      <c r="G36" s="266" t="s">
        <v>211</v>
      </c>
      <c r="H36" s="266" t="s">
        <v>214</v>
      </c>
      <c r="I36" s="266" t="s">
        <v>211</v>
      </c>
      <c r="J36" s="266" t="s">
        <v>215</v>
      </c>
      <c r="K36" s="266" t="s">
        <v>211</v>
      </c>
      <c r="L36" s="266" t="s">
        <v>216</v>
      </c>
      <c r="M36" s="266" t="s">
        <v>211</v>
      </c>
      <c r="N36" s="266" t="s">
        <v>217</v>
      </c>
      <c r="O36" s="266">
        <v>10</v>
      </c>
      <c r="P36" s="266" t="s">
        <v>217</v>
      </c>
      <c r="Q36" s="266">
        <v>20</v>
      </c>
      <c r="R36" s="266" t="s">
        <v>217</v>
      </c>
      <c r="S36" s="266" t="s">
        <v>211</v>
      </c>
      <c r="T36" s="266" t="s">
        <v>218</v>
      </c>
      <c r="U36" s="266" t="s">
        <v>219</v>
      </c>
      <c r="V36" s="266" t="s">
        <v>218</v>
      </c>
      <c r="W36" s="266" t="s">
        <v>220</v>
      </c>
      <c r="X36" s="266" t="s">
        <v>221</v>
      </c>
      <c r="Y36" s="266" t="s">
        <v>211</v>
      </c>
      <c r="Z36" s="266" t="s">
        <v>265</v>
      </c>
      <c r="AA36" s="266" t="s">
        <v>219</v>
      </c>
      <c r="AB36" s="266" t="s">
        <v>222</v>
      </c>
      <c r="AC36" s="266" t="s">
        <v>220</v>
      </c>
      <c r="AD36" s="266" t="s">
        <v>222</v>
      </c>
      <c r="AE36" s="266" t="s">
        <v>211</v>
      </c>
      <c r="AF36" s="266" t="s">
        <v>223</v>
      </c>
      <c r="AG36" s="266" t="s">
        <v>219</v>
      </c>
      <c r="AH36" s="266" t="s">
        <v>223</v>
      </c>
      <c r="AI36" s="266" t="s">
        <v>220</v>
      </c>
      <c r="AJ36" s="266" t="s">
        <v>223</v>
      </c>
      <c r="AK36" s="266" t="s">
        <v>211</v>
      </c>
      <c r="AL36" s="266" t="s">
        <v>224</v>
      </c>
      <c r="AM36" s="266" t="s">
        <v>219</v>
      </c>
      <c r="AN36" s="266" t="s">
        <v>224</v>
      </c>
      <c r="AO36" s="266" t="s">
        <v>220</v>
      </c>
      <c r="AP36" s="266" t="s">
        <v>224</v>
      </c>
      <c r="AQ36" s="266" t="s">
        <v>211</v>
      </c>
      <c r="AR36" s="266" t="s">
        <v>225</v>
      </c>
      <c r="AS36" s="266" t="s">
        <v>211</v>
      </c>
      <c r="AT36" s="266" t="s">
        <v>226</v>
      </c>
      <c r="AU36" s="297"/>
      <c r="AV36" s="297"/>
      <c r="AW36" s="297"/>
      <c r="AX36" s="297"/>
      <c r="AY36" s="297"/>
      <c r="AZ36" s="297"/>
      <c r="BA36" s="297"/>
      <c r="BB36" s="297"/>
    </row>
    <row r="37" spans="1:54">
      <c r="A37" s="298">
        <v>2017</v>
      </c>
      <c r="B37" s="253">
        <v>171</v>
      </c>
      <c r="C37" s="299">
        <v>10.16</v>
      </c>
      <c r="D37" s="256">
        <v>0.108085106382979</v>
      </c>
      <c r="E37" s="300"/>
      <c r="F37" s="301"/>
      <c r="G37" s="302"/>
      <c r="H37" s="301"/>
      <c r="I37" s="302"/>
      <c r="J37" s="301"/>
      <c r="K37" s="302"/>
      <c r="L37" s="301"/>
      <c r="M37" s="302"/>
      <c r="N37" s="301"/>
      <c r="O37" s="302"/>
      <c r="P37" s="301"/>
      <c r="Q37" s="299">
        <v>159.84</v>
      </c>
      <c r="R37" s="256">
        <v>0.93473684210526298</v>
      </c>
      <c r="S37" s="299">
        <v>156.4</v>
      </c>
      <c r="T37" s="256">
        <v>0.914619883040936</v>
      </c>
      <c r="U37" s="299">
        <v>157.33000000000001</v>
      </c>
      <c r="V37" s="256">
        <v>0.92005847953216402</v>
      </c>
      <c r="W37" s="299">
        <v>149</v>
      </c>
      <c r="X37" s="256">
        <v>0.87134502923976598</v>
      </c>
      <c r="Y37" s="299">
        <v>141.13999999999999</v>
      </c>
      <c r="Z37" s="256">
        <v>0.82538011695906399</v>
      </c>
      <c r="AA37" s="299">
        <v>126.97</v>
      </c>
      <c r="AB37" s="256">
        <v>0.74251461988304102</v>
      </c>
      <c r="AC37" s="299">
        <v>105.39</v>
      </c>
      <c r="AD37" s="256">
        <v>0.61631578947368404</v>
      </c>
      <c r="AE37" s="299">
        <v>86.9</v>
      </c>
      <c r="AF37" s="256">
        <v>0.50818713450292397</v>
      </c>
      <c r="AG37" s="299">
        <v>72.251000000000005</v>
      </c>
      <c r="AH37" s="256">
        <v>0.42252046783625702</v>
      </c>
      <c r="AI37" s="299">
        <v>70.19</v>
      </c>
      <c r="AJ37" s="256">
        <v>0.41046783625730998</v>
      </c>
      <c r="AK37" s="299">
        <v>65.153000000000006</v>
      </c>
      <c r="AL37" s="256">
        <v>0.38101169590643302</v>
      </c>
      <c r="AM37" s="299">
        <v>61.326000000000001</v>
      </c>
      <c r="AN37" s="256">
        <v>0.35863157894736802</v>
      </c>
      <c r="AO37" s="299">
        <v>49.186</v>
      </c>
      <c r="AP37" s="256">
        <v>0.35902189781021898</v>
      </c>
      <c r="AQ37" s="299">
        <v>49.478999999999999</v>
      </c>
      <c r="AR37" s="256">
        <v>0.28935087719298203</v>
      </c>
      <c r="AS37" s="299">
        <v>28.649000000000001</v>
      </c>
      <c r="AT37" s="256">
        <v>0.21540601503759399</v>
      </c>
      <c r="AU37" s="259"/>
      <c r="AV37" s="259"/>
      <c r="AW37" s="259"/>
      <c r="AX37" s="259"/>
      <c r="AY37" s="259"/>
      <c r="AZ37" s="259"/>
      <c r="BA37" s="259"/>
      <c r="BB37" s="259"/>
    </row>
    <row r="38" spans="1:54">
      <c r="A38" s="303">
        <v>2018</v>
      </c>
      <c r="B38" s="304">
        <v>157</v>
      </c>
      <c r="C38" s="305"/>
      <c r="D38" s="306"/>
      <c r="E38" s="307"/>
      <c r="F38" s="308"/>
      <c r="G38" s="307"/>
      <c r="H38" s="308"/>
      <c r="I38" s="307"/>
      <c r="J38" s="308"/>
      <c r="K38" s="307"/>
      <c r="L38" s="308"/>
      <c r="M38" s="307"/>
      <c r="N38" s="308"/>
      <c r="O38" s="307"/>
      <c r="P38" s="308"/>
      <c r="Q38" s="307"/>
      <c r="R38" s="309"/>
      <c r="S38" s="310">
        <v>157</v>
      </c>
      <c r="T38" s="311">
        <v>1</v>
      </c>
      <c r="U38" s="310">
        <v>157</v>
      </c>
      <c r="V38" s="311">
        <v>1</v>
      </c>
      <c r="W38" s="310">
        <v>157</v>
      </c>
      <c r="X38" s="311">
        <v>1</v>
      </c>
      <c r="Y38" s="310">
        <v>156.852</v>
      </c>
      <c r="Z38" s="311">
        <v>0.99905732484076504</v>
      </c>
      <c r="AA38" s="310">
        <v>151.822</v>
      </c>
      <c r="AB38" s="311">
        <v>0.96701910828025495</v>
      </c>
      <c r="AC38" s="310">
        <v>148.619</v>
      </c>
      <c r="AD38" s="311">
        <v>0.94661783439490399</v>
      </c>
      <c r="AE38" s="310">
        <v>138.696</v>
      </c>
      <c r="AF38" s="311">
        <v>0.88341401273885301</v>
      </c>
      <c r="AG38" s="310">
        <v>133.71600000000001</v>
      </c>
      <c r="AH38" s="311">
        <v>0.85169426751592403</v>
      </c>
      <c r="AI38" s="310">
        <v>127.131</v>
      </c>
      <c r="AJ38" s="311">
        <v>0.80975159235668803</v>
      </c>
      <c r="AK38" s="310">
        <v>116.02563000000001</v>
      </c>
      <c r="AL38" s="311">
        <v>0.73901675159235702</v>
      </c>
      <c r="AM38" s="310">
        <v>109.39583</v>
      </c>
      <c r="AN38" s="311">
        <v>0.69678872611465004</v>
      </c>
      <c r="AO38" s="310">
        <v>103.617</v>
      </c>
      <c r="AP38" s="311">
        <v>0.65998089171974506</v>
      </c>
      <c r="AQ38" s="310">
        <v>97.13</v>
      </c>
      <c r="AR38" s="311">
        <v>0.61866242038216601</v>
      </c>
      <c r="AS38" s="312"/>
      <c r="AT38" s="313"/>
      <c r="AU38" s="314"/>
      <c r="AV38" s="314"/>
      <c r="AW38" s="314"/>
      <c r="AX38" s="314"/>
      <c r="AY38" s="314"/>
      <c r="AZ38" s="314"/>
      <c r="BA38" s="314"/>
      <c r="BB38" s="314"/>
    </row>
    <row r="39" spans="1:54">
      <c r="A39" s="315">
        <v>2019</v>
      </c>
      <c r="B39" s="316">
        <v>157</v>
      </c>
      <c r="C39" s="317"/>
      <c r="D39" s="318"/>
      <c r="E39" s="317"/>
      <c r="F39" s="318"/>
      <c r="G39" s="317"/>
      <c r="H39" s="318"/>
      <c r="I39" s="317"/>
      <c r="J39" s="318"/>
      <c r="K39" s="317"/>
      <c r="L39" s="318"/>
      <c r="M39" s="317"/>
      <c r="N39" s="318"/>
      <c r="O39" s="317"/>
      <c r="P39" s="318"/>
      <c r="Q39" s="317"/>
      <c r="R39" s="318"/>
      <c r="S39" s="319">
        <v>156.958</v>
      </c>
      <c r="T39" s="70">
        <v>0.999732484076433</v>
      </c>
      <c r="U39" s="319">
        <v>156.22399999999999</v>
      </c>
      <c r="V39" s="70">
        <v>0.99505732484076403</v>
      </c>
      <c r="W39" s="319">
        <v>147.10599999999999</v>
      </c>
      <c r="X39" s="70">
        <v>0.93698089171974597</v>
      </c>
      <c r="Y39" s="319">
        <v>133.5762</v>
      </c>
      <c r="Z39" s="70">
        <v>0.85080382165605095</v>
      </c>
      <c r="AA39" s="319">
        <v>115.657</v>
      </c>
      <c r="AB39" s="70">
        <v>0.73666878980891703</v>
      </c>
      <c r="AC39" s="319">
        <v>100.3764</v>
      </c>
      <c r="AD39" s="70">
        <v>0.63934012738853496</v>
      </c>
      <c r="AE39" s="319">
        <v>80.923000000000002</v>
      </c>
      <c r="AF39" s="70">
        <v>0.51543312101910799</v>
      </c>
      <c r="AG39" s="319">
        <v>64.209999999999994</v>
      </c>
      <c r="AH39" s="70">
        <v>0.408980891719745</v>
      </c>
      <c r="AI39" s="319">
        <v>51.136000000000003</v>
      </c>
      <c r="AJ39" s="70">
        <v>0.32570700636942701</v>
      </c>
      <c r="AK39" s="319">
        <v>43.262999999999998</v>
      </c>
      <c r="AL39" s="70">
        <v>0.27556050955414002</v>
      </c>
      <c r="AM39" s="319">
        <v>35.970999999999997</v>
      </c>
      <c r="AN39" s="70">
        <v>0.229114649681529</v>
      </c>
      <c r="AO39" s="319">
        <v>29.2392</v>
      </c>
      <c r="AP39" s="70">
        <v>0.186236942675159</v>
      </c>
      <c r="AQ39" s="319">
        <v>25.568999999999999</v>
      </c>
      <c r="AR39" s="70">
        <v>0.16285987261146501</v>
      </c>
      <c r="AS39" s="320"/>
      <c r="AT39" s="320"/>
      <c r="AU39" s="321"/>
      <c r="AV39" s="321"/>
      <c r="AW39" s="321"/>
      <c r="AX39" s="321"/>
      <c r="AY39" s="321"/>
      <c r="AZ39" s="321"/>
      <c r="BA39" s="321"/>
      <c r="BB39" s="321"/>
    </row>
    <row r="40" spans="1:54">
      <c r="A40" s="315">
        <v>2020</v>
      </c>
      <c r="B40" s="316">
        <v>161.5</v>
      </c>
      <c r="C40" s="317"/>
      <c r="D40" s="318"/>
      <c r="E40" s="317"/>
      <c r="F40" s="318"/>
      <c r="G40" s="317"/>
      <c r="H40" s="318"/>
      <c r="I40" s="317"/>
      <c r="J40" s="318"/>
      <c r="K40" s="317"/>
      <c r="L40" s="318"/>
      <c r="M40" s="317"/>
      <c r="N40" s="318"/>
      <c r="O40" s="317"/>
      <c r="P40" s="318"/>
      <c r="Q40" s="317"/>
      <c r="R40" s="318"/>
      <c r="S40" s="319">
        <v>161.88999999999999</v>
      </c>
      <c r="T40" s="70">
        <v>1.0024148606811101</v>
      </c>
      <c r="U40" s="319">
        <v>161.77799999999999</v>
      </c>
      <c r="V40" s="70">
        <v>1.0017213622290999</v>
      </c>
      <c r="W40" s="319">
        <v>157.46</v>
      </c>
      <c r="X40" s="70">
        <v>0.97498452012383896</v>
      </c>
      <c r="Y40" s="319">
        <v>140.1</v>
      </c>
      <c r="Z40" s="70">
        <v>0.86749226006191904</v>
      </c>
      <c r="AA40" s="319">
        <v>113.672</v>
      </c>
      <c r="AB40" s="70">
        <v>0.70385139318885404</v>
      </c>
      <c r="AC40" s="319">
        <v>100.97799999999999</v>
      </c>
      <c r="AD40" s="70">
        <v>0.62525077399380802</v>
      </c>
      <c r="AE40" s="319">
        <v>76.869</v>
      </c>
      <c r="AF40" s="70">
        <v>0.475969040247678</v>
      </c>
      <c r="AG40" s="319">
        <v>63.454999999999998</v>
      </c>
      <c r="AH40" s="70">
        <v>0.39291021671826598</v>
      </c>
      <c r="AI40" s="319">
        <v>48.749000000000002</v>
      </c>
      <c r="AJ40" s="70">
        <v>0.30185139318885401</v>
      </c>
      <c r="AK40" s="319">
        <v>45.448999999999998</v>
      </c>
      <c r="AL40" s="70">
        <v>0.281417956656347</v>
      </c>
      <c r="AM40" s="319">
        <v>42.338999999999999</v>
      </c>
      <c r="AN40" s="70">
        <v>0.26216099071207399</v>
      </c>
      <c r="AO40" s="319">
        <v>38.883000000000003</v>
      </c>
      <c r="AP40" s="70">
        <v>0.240761609907121</v>
      </c>
      <c r="AQ40" s="319">
        <v>35.262999999999998</v>
      </c>
      <c r="AR40" s="70">
        <v>0.218346749226006</v>
      </c>
      <c r="AS40" s="320">
        <v>9.6349999999999998</v>
      </c>
      <c r="AT40" s="320">
        <v>5.9659442724458202E-2</v>
      </c>
      <c r="AU40" s="321"/>
      <c r="AV40" s="321"/>
      <c r="AW40" s="321"/>
      <c r="AX40" s="321"/>
      <c r="AY40" s="321"/>
      <c r="AZ40" s="321"/>
      <c r="BA40" s="321"/>
      <c r="BB40" s="321"/>
    </row>
    <row r="41" spans="1:54">
      <c r="A41" s="315">
        <v>2021</v>
      </c>
      <c r="B41" s="316">
        <v>161.5</v>
      </c>
      <c r="C41" s="317"/>
      <c r="D41" s="318"/>
      <c r="E41" s="317"/>
      <c r="F41" s="318"/>
      <c r="G41" s="317"/>
      <c r="H41" s="318"/>
      <c r="I41" s="317"/>
      <c r="J41" s="318"/>
      <c r="K41" s="317"/>
      <c r="L41" s="318"/>
      <c r="M41" s="317"/>
      <c r="N41" s="318"/>
      <c r="O41" s="317"/>
      <c r="P41" s="318"/>
      <c r="Q41" s="317"/>
      <c r="R41" s="318"/>
      <c r="S41" s="319">
        <v>162.6</v>
      </c>
      <c r="T41" s="70">
        <v>1</v>
      </c>
      <c r="U41" s="319">
        <v>162.298</v>
      </c>
      <c r="V41" s="70">
        <v>0.99814268142681395</v>
      </c>
      <c r="W41" s="319">
        <v>162.762</v>
      </c>
      <c r="X41" s="70">
        <v>0.98703456640388099</v>
      </c>
      <c r="Y41" s="319">
        <v>150.97200000000001</v>
      </c>
      <c r="Z41" s="70">
        <v>0.91553668890236495</v>
      </c>
      <c r="AA41" s="319">
        <v>149.96</v>
      </c>
      <c r="AB41" s="70">
        <v>0.90939963614311703</v>
      </c>
      <c r="AC41" s="319">
        <v>129.232</v>
      </c>
      <c r="AD41" s="70">
        <v>0.78369921164342005</v>
      </c>
      <c r="AE41" s="319">
        <v>112.988</v>
      </c>
      <c r="AF41" s="70">
        <v>0.65201685036643797</v>
      </c>
      <c r="AG41" s="319">
        <v>92.132000000000005</v>
      </c>
      <c r="AH41" s="70">
        <v>0.53166368515205698</v>
      </c>
      <c r="AI41" s="319">
        <v>89.200999999999993</v>
      </c>
      <c r="AJ41" s="70">
        <v>0.51474984130648005</v>
      </c>
      <c r="AK41" s="319">
        <v>89.016000000000005</v>
      </c>
      <c r="AL41" s="70">
        <v>0.52059184747646103</v>
      </c>
      <c r="AM41" s="319">
        <v>83.323999999999998</v>
      </c>
      <c r="AN41" s="70">
        <v>0.48730335107316203</v>
      </c>
      <c r="AO41" s="319">
        <v>76.817999999999998</v>
      </c>
      <c r="AP41" s="70">
        <v>0.44925434235920197</v>
      </c>
      <c r="AQ41" s="319">
        <v>9.0299999999999994</v>
      </c>
      <c r="AR41" s="70">
        <v>0.18808333333333299</v>
      </c>
      <c r="AS41" s="322">
        <v>0</v>
      </c>
      <c r="AT41" s="323">
        <v>0</v>
      </c>
      <c r="AU41" s="321"/>
      <c r="AV41" s="321"/>
      <c r="AW41" s="321"/>
      <c r="AX41" s="321"/>
      <c r="AY41" s="321"/>
      <c r="AZ41" s="321"/>
      <c r="BA41" s="321"/>
      <c r="BB41" s="321"/>
    </row>
    <row r="42" spans="1:54">
      <c r="A42" s="315">
        <v>2022</v>
      </c>
      <c r="B42" s="316">
        <v>173.59</v>
      </c>
      <c r="C42" s="317"/>
      <c r="D42" s="318"/>
      <c r="E42" s="317"/>
      <c r="F42" s="318"/>
      <c r="G42" s="317"/>
      <c r="H42" s="318"/>
      <c r="I42" s="317"/>
      <c r="J42" s="318"/>
      <c r="K42" s="317"/>
      <c r="L42" s="318"/>
      <c r="M42" s="317"/>
      <c r="N42" s="318">
        <v>1</v>
      </c>
      <c r="O42" s="317"/>
      <c r="P42" s="318">
        <v>1</v>
      </c>
      <c r="Q42" s="317"/>
      <c r="R42" s="318">
        <v>1</v>
      </c>
      <c r="S42" s="319">
        <v>161.209</v>
      </c>
      <c r="T42" s="70">
        <v>0.99144526445264403</v>
      </c>
      <c r="U42" s="319">
        <v>152.488</v>
      </c>
      <c r="V42" s="70">
        <v>0.93781057810578095</v>
      </c>
      <c r="W42" s="319">
        <v>127.05800000000001</v>
      </c>
      <c r="X42" s="70">
        <v>0.76911622276029101</v>
      </c>
      <c r="Y42" s="319">
        <v>101.18300000000001</v>
      </c>
      <c r="Z42" s="70">
        <v>0.61248789346247001</v>
      </c>
      <c r="AA42" s="319">
        <v>83.031000000000006</v>
      </c>
      <c r="AB42" s="70">
        <v>0.50260895883777201</v>
      </c>
      <c r="AC42" s="319">
        <v>63.429000000000002</v>
      </c>
      <c r="AD42" s="70">
        <v>0.38395278450363202</v>
      </c>
      <c r="AE42" s="319">
        <v>53.2</v>
      </c>
      <c r="AF42" s="70">
        <v>0.30646926666282598</v>
      </c>
      <c r="AG42" s="319">
        <v>48.456000000000003</v>
      </c>
      <c r="AH42" s="70">
        <v>0.27914050348522401</v>
      </c>
      <c r="AI42" s="319">
        <v>44.268999999999998</v>
      </c>
      <c r="AJ42" s="70">
        <v>0.25502045048677902</v>
      </c>
      <c r="AK42" s="319">
        <v>37.631999999999998</v>
      </c>
      <c r="AL42" s="70">
        <v>0.22008304579215199</v>
      </c>
      <c r="AM42" s="319">
        <v>33.715000000000003</v>
      </c>
      <c r="AN42" s="70">
        <v>0.197175273407802</v>
      </c>
      <c r="AO42" s="319">
        <v>27.998999999999999</v>
      </c>
      <c r="AP42" s="70">
        <v>0.16374641791917699</v>
      </c>
      <c r="AQ42" s="319">
        <v>26.512</v>
      </c>
      <c r="AR42" s="70">
        <v>0.15272769168730899</v>
      </c>
      <c r="AS42" s="319"/>
      <c r="AT42" s="70"/>
      <c r="AU42" s="268"/>
      <c r="AV42" s="268"/>
      <c r="AW42" s="268"/>
      <c r="AX42" s="268"/>
      <c r="AY42" s="268"/>
      <c r="AZ42" s="268"/>
      <c r="BA42" s="268"/>
      <c r="BB42" s="268"/>
    </row>
    <row r="45" spans="1:54">
      <c r="B45" t="s">
        <v>249</v>
      </c>
      <c r="C45" s="9" t="s">
        <v>250</v>
      </c>
      <c r="D45" t="s">
        <v>251</v>
      </c>
      <c r="E45" t="s">
        <v>252</v>
      </c>
      <c r="F45" t="s">
        <v>253</v>
      </c>
      <c r="G45" t="s">
        <v>254</v>
      </c>
      <c r="H45" t="s">
        <v>255</v>
      </c>
    </row>
    <row r="46" spans="1:54">
      <c r="B46" s="291" t="s">
        <v>217</v>
      </c>
      <c r="C46" s="291" t="s">
        <v>218</v>
      </c>
      <c r="D46" s="291" t="s">
        <v>265</v>
      </c>
      <c r="E46" s="291" t="s">
        <v>223</v>
      </c>
      <c r="F46" s="291" t="s">
        <v>224</v>
      </c>
      <c r="G46" s="291" t="s">
        <v>225</v>
      </c>
      <c r="H46" s="291" t="s">
        <v>226</v>
      </c>
      <c r="I46" s="291">
        <v>43831</v>
      </c>
      <c r="J46" s="291">
        <v>43862</v>
      </c>
      <c r="K46" s="291">
        <v>43891</v>
      </c>
      <c r="L46" s="291">
        <v>43922</v>
      </c>
      <c r="M46" s="291">
        <v>43952</v>
      </c>
    </row>
    <row r="47" spans="1:54">
      <c r="A47" s="269">
        <v>2017</v>
      </c>
      <c r="B47" s="293"/>
      <c r="C47" s="293">
        <f t="shared" ref="C47:H47" si="11">IF(HLOOKUP(C$46,$C$36:$AT$43,2,0)="","",HLOOKUP(C$46,$C$36:$AT$43,2,0))</f>
        <v>0.914619883040936</v>
      </c>
      <c r="D47" s="293">
        <f t="shared" si="11"/>
        <v>0.82538011695906399</v>
      </c>
      <c r="E47" s="293">
        <f t="shared" si="11"/>
        <v>0.50818713450292397</v>
      </c>
      <c r="F47" s="293">
        <f t="shared" si="11"/>
        <v>0.38101169590643302</v>
      </c>
      <c r="G47" s="293">
        <f t="shared" si="11"/>
        <v>0.28935087719298203</v>
      </c>
      <c r="H47" s="293">
        <f t="shared" si="11"/>
        <v>0.21540601503759399</v>
      </c>
      <c r="I47" s="293"/>
      <c r="J47" s="293"/>
      <c r="K47" s="293"/>
      <c r="L47" s="293"/>
      <c r="M47" s="293"/>
    </row>
    <row r="48" spans="1:54">
      <c r="A48" s="324">
        <v>2018</v>
      </c>
      <c r="B48" s="293"/>
      <c r="C48" s="293">
        <f t="shared" ref="C48:H48" si="12">IF(HLOOKUP(C$46,$C$36:$AT$43,3,0)="","",HLOOKUP(C$46,$C$36:$AT$43,3,0))</f>
        <v>1</v>
      </c>
      <c r="D48" s="293">
        <f t="shared" si="12"/>
        <v>0.99905732484076504</v>
      </c>
      <c r="E48" s="293">
        <f t="shared" si="12"/>
        <v>0.88341401273885301</v>
      </c>
      <c r="F48" s="293">
        <f t="shared" si="12"/>
        <v>0.73901675159235702</v>
      </c>
      <c r="G48" s="293">
        <f t="shared" si="12"/>
        <v>0.61866242038216601</v>
      </c>
      <c r="H48" s="293" t="str">
        <f t="shared" si="12"/>
        <v/>
      </c>
      <c r="I48" s="293"/>
      <c r="J48" s="293"/>
      <c r="K48" s="293"/>
      <c r="L48" s="293"/>
      <c r="M48" s="293"/>
    </row>
    <row r="49" spans="1:13">
      <c r="A49" s="269">
        <v>2019</v>
      </c>
      <c r="B49" s="293"/>
      <c r="C49" s="293">
        <f t="shared" ref="C49:H49" si="13">IF(HLOOKUP(C$46,$C$36:$AT$43,4,0)="","",HLOOKUP(C$46,$C$36:$AT$43,4,0))</f>
        <v>0.999732484076433</v>
      </c>
      <c r="D49" s="293">
        <f t="shared" si="13"/>
        <v>0.85080382165605095</v>
      </c>
      <c r="E49" s="293">
        <f t="shared" si="13"/>
        <v>0.51543312101910799</v>
      </c>
      <c r="F49" s="293">
        <f t="shared" si="13"/>
        <v>0.27556050955414002</v>
      </c>
      <c r="G49" s="293">
        <f t="shared" si="13"/>
        <v>0.16285987261146501</v>
      </c>
      <c r="H49" s="293" t="str">
        <f t="shared" si="13"/>
        <v/>
      </c>
      <c r="I49" s="293"/>
      <c r="J49" s="293"/>
      <c r="K49" s="293"/>
      <c r="L49" s="293"/>
      <c r="M49" s="293"/>
    </row>
    <row r="50" spans="1:13" s="73" customFormat="1">
      <c r="A50" s="269">
        <v>2020</v>
      </c>
      <c r="B50" s="293"/>
      <c r="C50" s="293">
        <f>IF(HLOOKUP(C$46,$C$36:$AT$43,5,0)="","",HLOOKUP(C$46,$C$36:$AT$43,5,0))</f>
        <v>1.0024148606811101</v>
      </c>
      <c r="D50" s="293">
        <f>IF(HLOOKUP(D$46,$C$36:$AT$43,5,0)="","",HLOOKUP(D$46,$C$36:$AT$43,5,0))</f>
        <v>0.86749226006191904</v>
      </c>
      <c r="E50" s="293">
        <f>IF(HLOOKUP(E$46,$C$36:$AT$43,5,0)="","",HLOOKUP(E$46,$C$36:$AT$43,5,0))</f>
        <v>0.475969040247678</v>
      </c>
      <c r="F50" s="293">
        <f>IF(HLOOKUP(F$46,$C$36:$AT$43,5,0)="","",HLOOKUP(F$46,$C$36:$AT$43,5,0))</f>
        <v>0.281417956656347</v>
      </c>
      <c r="G50" s="293">
        <f>IF(HLOOKUP(G$46,$C$36:$AT$43,5,0)="","",HLOOKUP(G$46,$C$36:$AT$43,5,0))</f>
        <v>0.218346749226006</v>
      </c>
      <c r="H50" s="141"/>
      <c r="I50" s="141"/>
      <c r="J50" s="293"/>
      <c r="K50" s="293"/>
    </row>
    <row r="51" spans="1:13" s="73" customFormat="1">
      <c r="A51" s="269">
        <v>2021</v>
      </c>
      <c r="B51" s="293"/>
      <c r="C51" s="293">
        <f>IF(HLOOKUP(C$46,$C$36:$AT$43,6,0)="","",HLOOKUP(C$46,$C$36:$AT$43,6,0))</f>
        <v>1</v>
      </c>
      <c r="D51" s="293">
        <f>IF(HLOOKUP(D$46,$C$36:$AT$43,6,0)="","",HLOOKUP(D$46,$C$36:$AT$43,6,0))</f>
        <v>0.91553668890236495</v>
      </c>
      <c r="E51" s="293">
        <f>IF(HLOOKUP(E$46,$C$36:$AT$43,6,0)="","",HLOOKUP(E$46,$C$36:$AT$43,6,0))</f>
        <v>0.65201685036643797</v>
      </c>
      <c r="F51" s="293">
        <f>IF(HLOOKUP(F$46,$C$36:$AT$43,6,0)="","",HLOOKUP(F$46,$C$36:$AT$43,6,0))</f>
        <v>0.52059184747646103</v>
      </c>
      <c r="G51" s="293">
        <f>IF(HLOOKUP(G$46,$C$36:$AT$43,6,0)="","",HLOOKUP(G$46,$C$36:$AT$43,6,0))</f>
        <v>0.18808333333333299</v>
      </c>
      <c r="H51" s="141"/>
      <c r="I51" s="141"/>
      <c r="J51" s="293"/>
      <c r="K51" s="293"/>
    </row>
    <row r="52" spans="1:13" s="73" customFormat="1">
      <c r="A52" s="269">
        <v>2022</v>
      </c>
      <c r="B52" s="293"/>
      <c r="C52" s="293">
        <f>IF(HLOOKUP(C$46,$C$36:$AT$43,7,0)="","",HLOOKUP(C$46,$C$36:$AT$43,7,0))</f>
        <v>0.99144526445264403</v>
      </c>
      <c r="D52" s="293">
        <f>IF(HLOOKUP(D$46,$C$36:$AT$43,7,0)="","",HLOOKUP(D$46,$C$36:$AT$43,7,0))</f>
        <v>0.61248789346247001</v>
      </c>
      <c r="E52" s="293">
        <f>IF(HLOOKUP(E$46,$C$36:$AT$43,7,0)="","",HLOOKUP(E$46,$C$36:$AT$43,7,0))</f>
        <v>0.30646926666282598</v>
      </c>
      <c r="F52" s="293">
        <f>IF(HLOOKUP(F$46,$C$36:$AT$43,7,0)="","",HLOOKUP(F$46,$C$36:$AT$43,7,0))</f>
        <v>0.22008304579215199</v>
      </c>
      <c r="G52" s="293">
        <f>IF(HLOOKUP(G$46,$C$36:$AT$43,7,0)="","",HLOOKUP(G$46,$C$36:$AT$43,7,0))</f>
        <v>0.15272769168730899</v>
      </c>
      <c r="H52" s="141"/>
      <c r="I52" s="141"/>
      <c r="J52" s="293"/>
      <c r="K52" s="293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29"/>
  <sheetViews>
    <sheetView topLeftCell="A103" zoomScaleNormal="100" workbookViewId="0">
      <selection activeCell="E133" sqref="E133"/>
    </sheetView>
  </sheetViews>
  <sheetFormatPr baseColWidth="10" defaultColWidth="13.42578125" defaultRowHeight="12.75"/>
  <cols>
    <col min="1" max="1" width="27.7109375" customWidth="1"/>
    <col min="2" max="2" width="24.85546875" style="73" customWidth="1"/>
    <col min="3" max="3" width="23.28515625" customWidth="1"/>
    <col min="4" max="4" width="21.28515625" customWidth="1"/>
    <col min="5" max="5" width="21.42578125" style="325" customWidth="1"/>
    <col min="6" max="6" width="21.28515625" customWidth="1"/>
    <col min="7" max="7" width="1.85546875" customWidth="1"/>
    <col min="8" max="8" width="2" style="326" customWidth="1"/>
    <col min="9" max="9" width="2" customWidth="1"/>
    <col min="10" max="10" width="20" customWidth="1"/>
    <col min="11" max="12" width="15.85546875" customWidth="1"/>
    <col min="13" max="13" width="2" customWidth="1"/>
    <col min="14" max="14" width="9.85546875" style="326" customWidth="1"/>
    <col min="15" max="15" width="1.5703125" customWidth="1"/>
    <col min="16" max="16" width="9.42578125" style="327" customWidth="1"/>
    <col min="17" max="17" width="22.28515625" customWidth="1"/>
    <col min="21" max="21" width="12.85546875" style="327" customWidth="1"/>
    <col min="22" max="22" width="11.42578125" customWidth="1"/>
    <col min="23" max="23" width="17.42578125" customWidth="1"/>
    <col min="24" max="24" width="16" customWidth="1"/>
    <col min="25" max="25" width="18.42578125" customWidth="1"/>
    <col min="26" max="26" width="11.5703125" customWidth="1"/>
    <col min="27" max="27" width="23.140625" customWidth="1"/>
    <col min="33" max="33" width="16.28515625" customWidth="1"/>
    <col min="34" max="34" width="20.28515625" customWidth="1"/>
    <col min="35" max="35" width="29.85546875" customWidth="1"/>
    <col min="37" max="37" width="24.28515625" customWidth="1"/>
    <col min="38" max="38" width="16.7109375" customWidth="1"/>
    <col min="45" max="45" width="10.5703125" customWidth="1"/>
  </cols>
  <sheetData>
    <row r="1" spans="1:35">
      <c r="A1" s="73" t="s">
        <v>266</v>
      </c>
      <c r="C1" s="73"/>
      <c r="D1" s="73"/>
      <c r="E1" s="73"/>
    </row>
    <row r="2" spans="1:35">
      <c r="R2" s="458" t="s">
        <v>267</v>
      </c>
      <c r="S2" s="458"/>
      <c r="T2" s="455" t="s">
        <v>268</v>
      </c>
      <c r="U2" s="455"/>
      <c r="V2" s="456" t="s">
        <v>269</v>
      </c>
      <c r="W2" s="456"/>
      <c r="X2" s="457" t="s">
        <v>270</v>
      </c>
      <c r="Y2" s="457"/>
      <c r="AB2" s="458" t="s">
        <v>271</v>
      </c>
      <c r="AC2" s="458"/>
      <c r="AD2" s="455" t="s">
        <v>272</v>
      </c>
      <c r="AE2" s="455"/>
      <c r="AF2" s="456" t="s">
        <v>273</v>
      </c>
      <c r="AG2" s="456"/>
      <c r="AH2" s="457" t="s">
        <v>274</v>
      </c>
      <c r="AI2" s="457"/>
    </row>
    <row r="3" spans="1:35" ht="38.25">
      <c r="A3" s="328" t="s">
        <v>275</v>
      </c>
      <c r="B3" s="329" t="s">
        <v>276</v>
      </c>
      <c r="C3" s="328" t="s">
        <v>277</v>
      </c>
      <c r="D3" s="329" t="s">
        <v>278</v>
      </c>
      <c r="E3" s="328" t="s">
        <v>279</v>
      </c>
      <c r="F3" s="328" t="s">
        <v>280</v>
      </c>
      <c r="M3" s="330"/>
      <c r="Q3" s="328" t="s">
        <v>275</v>
      </c>
      <c r="R3" s="331" t="s">
        <v>281</v>
      </c>
      <c r="S3" s="331" t="s">
        <v>282</v>
      </c>
      <c r="T3" s="332" t="s">
        <v>281</v>
      </c>
      <c r="U3" s="332" t="s">
        <v>282</v>
      </c>
      <c r="V3" s="333" t="s">
        <v>283</v>
      </c>
      <c r="W3" s="333" t="s">
        <v>284</v>
      </c>
      <c r="X3" s="334" t="s">
        <v>283</v>
      </c>
      <c r="Y3" s="334" t="s">
        <v>284</v>
      </c>
      <c r="AB3" s="331" t="s">
        <v>281</v>
      </c>
      <c r="AC3" s="331" t="s">
        <v>282</v>
      </c>
      <c r="AD3" s="332" t="s">
        <v>281</v>
      </c>
      <c r="AE3" s="332" t="s">
        <v>282</v>
      </c>
      <c r="AF3" s="333" t="s">
        <v>283</v>
      </c>
      <c r="AG3" s="333" t="s">
        <v>284</v>
      </c>
      <c r="AH3" s="334" t="s">
        <v>283</v>
      </c>
      <c r="AI3" s="334" t="s">
        <v>284</v>
      </c>
    </row>
    <row r="4" spans="1:35">
      <c r="A4" s="335" t="s">
        <v>285</v>
      </c>
      <c r="B4" s="336">
        <f>'Réserves 2023'!X$14</f>
        <v>0.56804057432673749</v>
      </c>
      <c r="C4" s="337">
        <f>'Réserves 2022'!W$14</f>
        <v>0.90466461890135008</v>
      </c>
      <c r="D4" s="336">
        <f>'Réserves 2023'!V14</f>
        <v>0.54475319665690403</v>
      </c>
      <c r="E4" s="337">
        <f>'Réserves 2022'!U$14</f>
        <v>0.89156368312022283</v>
      </c>
      <c r="F4" s="336">
        <f>'Réserves 2023'!T14</f>
        <v>0.30026430459318521</v>
      </c>
      <c r="M4" s="9"/>
      <c r="Q4" s="335" t="s">
        <v>285</v>
      </c>
      <c r="R4" s="338">
        <f>'Réserves 2023'!X$14</f>
        <v>0.56804057432673749</v>
      </c>
      <c r="S4" s="339">
        <f>'Réserves 2023'!W$14</f>
        <v>39.759999999999991</v>
      </c>
      <c r="T4" s="340">
        <f>'Réserves 2022'!W$14</f>
        <v>0.90466461890135008</v>
      </c>
      <c r="U4" s="341">
        <f>'Réserves 2022'!V$14</f>
        <v>63.322000000000003</v>
      </c>
      <c r="V4" s="340">
        <f t="shared" ref="V4:W11" si="0">R4-T4</f>
        <v>-0.33662404457461259</v>
      </c>
      <c r="W4" s="339">
        <f t="shared" si="0"/>
        <v>-23.562000000000012</v>
      </c>
      <c r="X4" s="342">
        <f t="shared" ref="X4:Y11" si="1">R4-AB4</f>
        <v>2.3287377669833464E-2</v>
      </c>
      <c r="Y4" s="343">
        <f t="shared" si="1"/>
        <v>1.6299999999999883</v>
      </c>
      <c r="AA4" s="335" t="s">
        <v>285</v>
      </c>
      <c r="AB4" s="338">
        <f>'Réserves 2023'!V$14</f>
        <v>0.54475319665690403</v>
      </c>
      <c r="AC4" s="339">
        <f>'Réserves 2023'!U$14</f>
        <v>38.130000000000003</v>
      </c>
      <c r="AD4" s="340">
        <f>'Réserves 2022'!U$14</f>
        <v>0.89156368312022283</v>
      </c>
      <c r="AE4" s="341">
        <f>'Réserves 2022'!T$14</f>
        <v>62.405000000000001</v>
      </c>
      <c r="AF4" s="340">
        <f t="shared" ref="AF4:AG11" si="2">AB4-AD4</f>
        <v>-0.3468104864633188</v>
      </c>
      <c r="AG4" s="339">
        <f t="shared" si="2"/>
        <v>-24.274999999999999</v>
      </c>
      <c r="AH4" s="342">
        <f t="shared" ref="AH4:AH11" si="3">AB4-F4</f>
        <v>0.24448889206371882</v>
      </c>
      <c r="AI4" s="343">
        <f>AC4-'Réserves 2023'!S14</f>
        <v>17.113000000000003</v>
      </c>
    </row>
    <row r="5" spans="1:35">
      <c r="A5" s="344" t="s">
        <v>286</v>
      </c>
      <c r="B5" s="345">
        <f>'Réserves 2023'!X$16</f>
        <v>0.40424528301886797</v>
      </c>
      <c r="C5" s="346">
        <f>'Réserves 2022'!W$16</f>
        <v>1.0051886792452831</v>
      </c>
      <c r="D5" s="345">
        <f>'Réserves 2023'!V16</f>
        <v>0.35943396226415103</v>
      </c>
      <c r="E5" s="346">
        <f>'Réserves 2022'!U$16</f>
        <v>0.9882075471698113</v>
      </c>
      <c r="F5" s="345">
        <f>'Réserves 2023'!T16</f>
        <v>0.16037735849056603</v>
      </c>
      <c r="M5" s="9"/>
      <c r="Q5" s="344" t="s">
        <v>286</v>
      </c>
      <c r="R5" s="347">
        <f>'Réserves 2023'!X$16</f>
        <v>0.40424528301886797</v>
      </c>
      <c r="S5" s="348">
        <f>'Réserves 2023'!W$16</f>
        <v>8.57</v>
      </c>
      <c r="T5" s="349">
        <f>'Réserves 2022'!W$16</f>
        <v>1.0051886792452831</v>
      </c>
      <c r="U5" s="350">
        <f>'Réserves 2022'!V$16</f>
        <v>21.31</v>
      </c>
      <c r="V5" s="351">
        <f t="shared" si="0"/>
        <v>-0.60094339622641513</v>
      </c>
      <c r="W5" s="352">
        <f t="shared" si="0"/>
        <v>-12.739999999999998</v>
      </c>
      <c r="X5" s="353">
        <f t="shared" si="1"/>
        <v>4.4811320754716943E-2</v>
      </c>
      <c r="Y5" s="354">
        <f t="shared" si="1"/>
        <v>0.94999999999999929</v>
      </c>
      <c r="AA5" s="344" t="s">
        <v>286</v>
      </c>
      <c r="AB5" s="347">
        <f>'Réserves 2023'!V$16</f>
        <v>0.35943396226415103</v>
      </c>
      <c r="AC5" s="348">
        <f>'Réserves 2023'!U$16</f>
        <v>7.620000000000001</v>
      </c>
      <c r="AD5" s="349">
        <f>'Réserves 2022'!U$16</f>
        <v>0.9882075471698113</v>
      </c>
      <c r="AE5" s="350">
        <f>'Réserves 2022'!T$16</f>
        <v>20.95</v>
      </c>
      <c r="AF5" s="351">
        <f t="shared" si="2"/>
        <v>-0.62877358490566027</v>
      </c>
      <c r="AG5" s="352">
        <f t="shared" si="2"/>
        <v>-13.329999999999998</v>
      </c>
      <c r="AH5" s="353">
        <f t="shared" si="3"/>
        <v>0.199056603773585</v>
      </c>
      <c r="AI5" s="354">
        <f>AC5-'Réserves 2023'!S16</f>
        <v>4.2200000000000006</v>
      </c>
    </row>
    <row r="6" spans="1:35">
      <c r="A6" s="335" t="s">
        <v>287</v>
      </c>
      <c r="B6" s="336">
        <f>'Réserves 2023'!X$18</f>
        <v>0.67440686521958604</v>
      </c>
      <c r="C6" s="337">
        <f>'Réserves 2022'!W$18</f>
        <v>1.0033316506814742</v>
      </c>
      <c r="D6" s="336">
        <f>'Réserves 2023'!V18</f>
        <v>0.6360424028268552</v>
      </c>
      <c r="E6" s="337">
        <f>'Réserves 2022'!U$18</f>
        <v>0.99262998485613341</v>
      </c>
      <c r="F6" s="336">
        <f>'Réserves 2023'!T18</f>
        <v>0.6279656739020697</v>
      </c>
      <c r="M6" s="9"/>
      <c r="Q6" s="335" t="s">
        <v>287</v>
      </c>
      <c r="R6" s="338">
        <f>'Réserves 2023'!X$18</f>
        <v>0.67440686521958604</v>
      </c>
      <c r="S6" s="339">
        <f>'Réserves 2023'!W$18</f>
        <v>3.34</v>
      </c>
      <c r="T6" s="340">
        <f>'Réserves 2022'!W$18</f>
        <v>1.0033316506814742</v>
      </c>
      <c r="U6" s="341">
        <f>'Réserves 2022'!V$18</f>
        <v>4.9690000000000003</v>
      </c>
      <c r="V6" s="340">
        <f t="shared" si="0"/>
        <v>-0.32892478546188819</v>
      </c>
      <c r="W6" s="339">
        <f t="shared" si="0"/>
        <v>-1.6290000000000004</v>
      </c>
      <c r="X6" s="342">
        <f t="shared" si="1"/>
        <v>3.8364462392730836E-2</v>
      </c>
      <c r="Y6" s="343">
        <f t="shared" si="1"/>
        <v>0.18999999999999995</v>
      </c>
      <c r="AA6" s="335" t="s">
        <v>287</v>
      </c>
      <c r="AB6" s="338">
        <f>'Réserves 2023'!V$18</f>
        <v>0.6360424028268552</v>
      </c>
      <c r="AC6" s="339">
        <f>'Réserves 2023'!U$18</f>
        <v>3.15</v>
      </c>
      <c r="AD6" s="340">
        <f>'Réserves 2022'!U$18</f>
        <v>0.99262998485613341</v>
      </c>
      <c r="AE6" s="341">
        <f>'Réserves 2022'!T$18</f>
        <v>4.9160000000000004</v>
      </c>
      <c r="AF6" s="340">
        <f t="shared" si="2"/>
        <v>-0.35658758202927821</v>
      </c>
      <c r="AG6" s="339">
        <f t="shared" si="2"/>
        <v>-1.7660000000000005</v>
      </c>
      <c r="AH6" s="342">
        <f t="shared" si="3"/>
        <v>8.0767289247855034E-3</v>
      </c>
      <c r="AI6" s="343">
        <f>AC6-'Réserves 2023'!S18</f>
        <v>4.0000000000000036E-2</v>
      </c>
    </row>
    <row r="7" spans="1:35">
      <c r="A7" s="344" t="s">
        <v>288</v>
      </c>
      <c r="B7" s="345">
        <f>'Réserves 2023'!X$31</f>
        <v>0.33265543288785598</v>
      </c>
      <c r="C7" s="346">
        <f>'Réserves 2022'!W$31</f>
        <v>0.79753776873910531</v>
      </c>
      <c r="D7" s="345">
        <f>'Réserves 2023'!V31</f>
        <v>0.31796194073213258</v>
      </c>
      <c r="E7" s="346">
        <f>'Réserves 2022'!U$31</f>
        <v>0.75416908773968638</v>
      </c>
      <c r="F7" s="345">
        <f>'Réserves 2023'!T31</f>
        <v>0.27296629866356775</v>
      </c>
      <c r="M7" s="9"/>
      <c r="Q7" s="344" t="s">
        <v>288</v>
      </c>
      <c r="R7" s="347">
        <f>'Réserves 2023'!X$31</f>
        <v>0.33265543288785598</v>
      </c>
      <c r="S7" s="348">
        <f>'Réserves 2023'!W$31</f>
        <v>45.800000000000004</v>
      </c>
      <c r="T7" s="349">
        <f>'Réserves 2022'!W$31</f>
        <v>0.79753776873910531</v>
      </c>
      <c r="U7" s="350">
        <f>'Réserves 2022'!V$31</f>
        <v>109.80500000000001</v>
      </c>
      <c r="V7" s="351">
        <f t="shared" si="0"/>
        <v>-0.46488233585124933</v>
      </c>
      <c r="W7" s="352">
        <f t="shared" si="0"/>
        <v>-64.004999999999995</v>
      </c>
      <c r="X7" s="353">
        <f t="shared" si="1"/>
        <v>1.4693492155723409E-2</v>
      </c>
      <c r="Y7" s="354">
        <f t="shared" si="1"/>
        <v>2.0229999999999961</v>
      </c>
      <c r="AA7" s="344" t="s">
        <v>288</v>
      </c>
      <c r="AB7" s="347">
        <f>'Réserves 2023'!V$31</f>
        <v>0.31796194073213258</v>
      </c>
      <c r="AC7" s="348">
        <f>'Réserves 2023'!U$31</f>
        <v>43.777000000000008</v>
      </c>
      <c r="AD7" s="349">
        <f>'Réserves 2022'!U$31</f>
        <v>0.75416908773968638</v>
      </c>
      <c r="AE7" s="350">
        <f>'Réserves 2022'!T$31</f>
        <v>103.834</v>
      </c>
      <c r="AF7" s="351">
        <f t="shared" si="2"/>
        <v>-0.43620714700755381</v>
      </c>
      <c r="AG7" s="352">
        <f t="shared" si="2"/>
        <v>-60.056999999999995</v>
      </c>
      <c r="AH7" s="353">
        <f t="shared" si="3"/>
        <v>4.4995642068564823E-2</v>
      </c>
      <c r="AI7" s="354">
        <f>AC7-'Réserves 2023'!S31</f>
        <v>6.1950000000000074</v>
      </c>
    </row>
    <row r="8" spans="1:35">
      <c r="A8" s="335" t="s">
        <v>289</v>
      </c>
      <c r="B8" s="336">
        <f>'Réserves 2023'!X$45</f>
        <v>0</v>
      </c>
      <c r="C8" s="337">
        <f>'Réserves 2022'!W$45</f>
        <v>1</v>
      </c>
      <c r="D8" s="336">
        <f>'Réserves 2023'!V45</f>
        <v>0</v>
      </c>
      <c r="E8" s="337">
        <f>'Réserves 2022'!U$45</f>
        <v>1</v>
      </c>
      <c r="F8" s="336">
        <f>'Réserves 2023'!T45</f>
        <v>0.59756097560975618</v>
      </c>
      <c r="M8" s="9"/>
      <c r="Q8" s="335" t="s">
        <v>289</v>
      </c>
      <c r="R8" s="338">
        <f>'Réserves 2023'!X$45</f>
        <v>0</v>
      </c>
      <c r="S8" s="339">
        <f>'Réserves 2023'!W$45</f>
        <v>0</v>
      </c>
      <c r="T8" s="340">
        <f>'Réserves 2022'!W$45</f>
        <v>1</v>
      </c>
      <c r="U8" s="355">
        <f>'Réserves 2022'!V$45</f>
        <v>8.1999999999999993</v>
      </c>
      <c r="V8" s="340">
        <f t="shared" si="0"/>
        <v>-1</v>
      </c>
      <c r="W8" s="339">
        <f t="shared" si="0"/>
        <v>-8.1999999999999993</v>
      </c>
      <c r="X8" s="342">
        <f t="shared" si="1"/>
        <v>0</v>
      </c>
      <c r="Y8" s="343">
        <f t="shared" si="1"/>
        <v>0</v>
      </c>
      <c r="AA8" s="335" t="s">
        <v>289</v>
      </c>
      <c r="AB8" s="338">
        <f>'Réserves 2023'!V$45</f>
        <v>0</v>
      </c>
      <c r="AC8" s="339">
        <f>'Réserves 2023'!U$45</f>
        <v>0</v>
      </c>
      <c r="AD8" s="340">
        <f>'Réserves 2022'!U$45</f>
        <v>1</v>
      </c>
      <c r="AE8" s="355">
        <f>'Réserves 2022'!T$45</f>
        <v>8.1999999999999993</v>
      </c>
      <c r="AF8" s="340">
        <f t="shared" si="2"/>
        <v>-1</v>
      </c>
      <c r="AG8" s="339">
        <f t="shared" si="2"/>
        <v>-8.1999999999999993</v>
      </c>
      <c r="AH8" s="342">
        <f t="shared" si="3"/>
        <v>-0.59756097560975618</v>
      </c>
      <c r="AI8" s="343">
        <f>AC8-'Réserves 2023'!S45</f>
        <v>-4.9000000000000004</v>
      </c>
    </row>
    <row r="9" spans="1:35">
      <c r="A9" s="344" t="s">
        <v>290</v>
      </c>
      <c r="B9" s="345">
        <f>'Réserves 2023'!X$43</f>
        <v>0.58691427337508106</v>
      </c>
      <c r="C9" s="346">
        <f>'Réserves 2022'!W$43</f>
        <v>0.8924350392283884</v>
      </c>
      <c r="D9" s="345">
        <f>'Réserves 2023'!V43</f>
        <v>0.53652918736054134</v>
      </c>
      <c r="E9" s="346">
        <f>'Réserves 2022'!U$43</f>
        <v>0.85634492190311662</v>
      </c>
      <c r="F9" s="345">
        <f>'Réserves 2023'!T43</f>
        <v>0.31516591089037643</v>
      </c>
      <c r="M9" s="9"/>
      <c r="Q9" s="344" t="s">
        <v>290</v>
      </c>
      <c r="R9" s="347">
        <f>'Réserves 2023'!X$43</f>
        <v>0.58691427337508106</v>
      </c>
      <c r="S9" s="348">
        <f>'Réserves 2023'!W$43</f>
        <v>40.77000000000001</v>
      </c>
      <c r="T9" s="349">
        <f>'Réserves 2022'!W$43</f>
        <v>0.8924350392283884</v>
      </c>
      <c r="U9" s="350">
        <f>'Réserves 2022'!V$43</f>
        <v>61.993000000000002</v>
      </c>
      <c r="V9" s="351">
        <f t="shared" si="0"/>
        <v>-0.30552076585330734</v>
      </c>
      <c r="W9" s="352">
        <f t="shared" si="0"/>
        <v>-21.222999999999992</v>
      </c>
      <c r="X9" s="353">
        <f t="shared" si="1"/>
        <v>5.0385086014539726E-2</v>
      </c>
      <c r="Y9" s="354">
        <f t="shared" si="1"/>
        <v>3.5000000000000071</v>
      </c>
      <c r="AA9" s="344" t="s">
        <v>290</v>
      </c>
      <c r="AB9" s="347">
        <f>'Réserves 2023'!V$43</f>
        <v>0.53652918736054134</v>
      </c>
      <c r="AC9" s="348">
        <f>'Réserves 2023'!U$43</f>
        <v>37.270000000000003</v>
      </c>
      <c r="AD9" s="349">
        <f>'Réserves 2022'!U$43</f>
        <v>0.85634492190311662</v>
      </c>
      <c r="AE9" s="350">
        <f>'Réserves 2022'!T$43</f>
        <v>59.485999999999997</v>
      </c>
      <c r="AF9" s="351">
        <f t="shared" si="2"/>
        <v>-0.31981573454257528</v>
      </c>
      <c r="AG9" s="352">
        <f t="shared" si="2"/>
        <v>-22.215999999999994</v>
      </c>
      <c r="AH9" s="353">
        <f t="shared" si="3"/>
        <v>0.2213632764701649</v>
      </c>
      <c r="AI9" s="354">
        <f>AC9-'Réserves 2023'!S43</f>
        <v>15.377000000000002</v>
      </c>
    </row>
    <row r="10" spans="1:35">
      <c r="A10" s="335" t="s">
        <v>291</v>
      </c>
      <c r="B10" s="336">
        <f>'Réserves 2023'!X$58</f>
        <v>0.45642781132607657</v>
      </c>
      <c r="C10" s="337">
        <f>'Réserves 2022'!W$58</f>
        <v>0.96237034757747075</v>
      </c>
      <c r="D10" s="336">
        <f>'Réserves 2023'!V58</f>
        <v>0.43704245035065453</v>
      </c>
      <c r="E10" s="337">
        <f>'Réserves 2022'!U$58</f>
        <v>0.94983140377193986</v>
      </c>
      <c r="F10" s="336">
        <f>'Réserves 2023'!T58</f>
        <v>0.39601523135505207</v>
      </c>
      <c r="M10" s="9"/>
      <c r="Q10" s="335" t="s">
        <v>291</v>
      </c>
      <c r="R10" s="338">
        <f>'Réserves 2023'!X$58</f>
        <v>0.45642781132607657</v>
      </c>
      <c r="S10" s="339">
        <f>'Réserves 2023'!W$58</f>
        <v>35.6</v>
      </c>
      <c r="T10" s="340">
        <f>'Réserves 2022'!W$58</f>
        <v>0.96237034757747075</v>
      </c>
      <c r="U10" s="341">
        <f>'Réserves 2022'!V$58</f>
        <v>75.061999999999998</v>
      </c>
      <c r="V10" s="340">
        <f t="shared" si="0"/>
        <v>-0.50594253625139418</v>
      </c>
      <c r="W10" s="339">
        <f t="shared" si="0"/>
        <v>-39.461999999999996</v>
      </c>
      <c r="X10" s="342">
        <f t="shared" si="1"/>
        <v>1.9385360975422039E-2</v>
      </c>
      <c r="Y10" s="343">
        <f t="shared" si="1"/>
        <v>1.5119999999999933</v>
      </c>
      <c r="AA10" s="335" t="s">
        <v>291</v>
      </c>
      <c r="AB10" s="338">
        <f>'Réserves 2023'!V$58</f>
        <v>0.43704245035065453</v>
      </c>
      <c r="AC10" s="339">
        <f>'Réserves 2023'!U$58</f>
        <v>34.088000000000008</v>
      </c>
      <c r="AD10" s="340">
        <f>'Réserves 2022'!U$58</f>
        <v>0.94983140377193986</v>
      </c>
      <c r="AE10" s="341">
        <f>'Réserves 2022'!T$58</f>
        <v>74.084000000000003</v>
      </c>
      <c r="AF10" s="340">
        <f t="shared" si="2"/>
        <v>-0.51278895342128528</v>
      </c>
      <c r="AG10" s="339">
        <f t="shared" si="2"/>
        <v>-39.995999999999995</v>
      </c>
      <c r="AH10" s="342">
        <f t="shared" si="3"/>
        <v>4.1027218995602466E-2</v>
      </c>
      <c r="AI10" s="343">
        <f>AC10-'Réserves 2023'!S58</f>
        <v>3.2000000000000064</v>
      </c>
    </row>
    <row r="11" spans="1:35">
      <c r="A11" s="356" t="s">
        <v>292</v>
      </c>
      <c r="B11" s="357">
        <f>'Réserves 2023'!X$60</f>
        <v>0.45592653351324913</v>
      </c>
      <c r="C11" s="358">
        <f>'Réserves 2022'!W$60</f>
        <v>0.8849044711089773</v>
      </c>
      <c r="D11" s="357">
        <f>'Réserves 2023'!V60</f>
        <v>0.43021116500716655</v>
      </c>
      <c r="E11" s="358">
        <f>'Réserves 2022'!U$60</f>
        <v>0.85721181187169371</v>
      </c>
      <c r="F11" s="357">
        <f>'Réserves 2023'!T60</f>
        <v>0.31525881955739504</v>
      </c>
      <c r="Q11" s="356" t="s">
        <v>292</v>
      </c>
      <c r="R11" s="359">
        <f>'Réserves 2023'!X$60</f>
        <v>0.45592653351324913</v>
      </c>
      <c r="S11" s="360">
        <f>'Réserves 2023'!W$60</f>
        <v>173.84</v>
      </c>
      <c r="T11" s="361">
        <f>'Réserves 2022'!W$60</f>
        <v>0.8849044711089773</v>
      </c>
      <c r="U11" s="362">
        <f>'Réserves 2022'!V$60</f>
        <v>344.661</v>
      </c>
      <c r="V11" s="363">
        <f t="shared" si="0"/>
        <v>-0.42897793759572816</v>
      </c>
      <c r="W11" s="364">
        <f t="shared" si="0"/>
        <v>-170.821</v>
      </c>
      <c r="X11" s="365">
        <f t="shared" si="1"/>
        <v>2.5715368506082581E-2</v>
      </c>
      <c r="Y11" s="366">
        <f t="shared" si="1"/>
        <v>9.8049999999999784</v>
      </c>
      <c r="AA11" s="356" t="s">
        <v>292</v>
      </c>
      <c r="AB11" s="359">
        <f>'Réserves 2023'!V$60</f>
        <v>0.43021116500716655</v>
      </c>
      <c r="AC11" s="360">
        <f>'Réserves 2023'!U$60</f>
        <v>164.03500000000003</v>
      </c>
      <c r="AD11" s="361">
        <f>'Réserves 2022'!U$60</f>
        <v>0.85721181187169371</v>
      </c>
      <c r="AE11" s="362">
        <f>'Réserves 2022'!AD$60</f>
        <v>360.63499999999999</v>
      </c>
      <c r="AF11" s="363">
        <f t="shared" si="2"/>
        <v>-0.42700064686452716</v>
      </c>
      <c r="AG11" s="364">
        <f t="shared" si="2"/>
        <v>-196.59999999999997</v>
      </c>
      <c r="AH11" s="365">
        <f t="shared" si="3"/>
        <v>0.11495234544977151</v>
      </c>
      <c r="AI11" s="366">
        <f>AC11-'Réserves 2023'!S60</f>
        <v>41.245000000000019</v>
      </c>
    </row>
    <row r="12" spans="1:35">
      <c r="M12" s="9"/>
    </row>
    <row r="13" spans="1:35">
      <c r="A13" s="356" t="s">
        <v>293</v>
      </c>
      <c r="B13" s="367"/>
      <c r="C13" s="368"/>
      <c r="D13" s="368"/>
      <c r="E13" s="368"/>
      <c r="F13" s="368"/>
      <c r="M13" s="9"/>
    </row>
    <row r="14" spans="1:35">
      <c r="B14" s="325"/>
      <c r="C14" s="9"/>
      <c r="D14" s="9"/>
      <c r="E14" s="9"/>
      <c r="F14" s="325"/>
      <c r="M14" s="325"/>
    </row>
    <row r="15" spans="1:35">
      <c r="B15" s="325"/>
      <c r="C15" s="9"/>
      <c r="D15" s="9"/>
      <c r="E15" s="9"/>
      <c r="F15" s="325"/>
      <c r="M15" s="325"/>
    </row>
    <row r="16" spans="1:35">
      <c r="A16" s="73" t="s">
        <v>294</v>
      </c>
      <c r="D16" s="73"/>
    </row>
    <row r="17" spans="1:35">
      <c r="R17" s="458" t="s">
        <v>295</v>
      </c>
      <c r="S17" s="458"/>
      <c r="T17" s="455" t="s">
        <v>296</v>
      </c>
      <c r="U17" s="455"/>
      <c r="V17" s="456" t="s">
        <v>297</v>
      </c>
      <c r="W17" s="456"/>
      <c r="X17" s="457" t="s">
        <v>298</v>
      </c>
      <c r="Y17" s="457"/>
      <c r="AB17" s="458" t="s">
        <v>299</v>
      </c>
      <c r="AC17" s="458"/>
      <c r="AD17" s="455" t="s">
        <v>300</v>
      </c>
      <c r="AE17" s="455"/>
      <c r="AF17" s="456" t="s">
        <v>301</v>
      </c>
      <c r="AG17" s="456"/>
      <c r="AH17" s="457" t="s">
        <v>302</v>
      </c>
      <c r="AI17" s="457"/>
    </row>
    <row r="18" spans="1:35" ht="38.25">
      <c r="A18" s="328" t="s">
        <v>275</v>
      </c>
      <c r="B18" s="329" t="s">
        <v>303</v>
      </c>
      <c r="C18" s="328" t="s">
        <v>304</v>
      </c>
      <c r="D18" s="329" t="s">
        <v>305</v>
      </c>
      <c r="E18" s="328" t="s">
        <v>306</v>
      </c>
      <c r="F18" s="328" t="s">
        <v>276</v>
      </c>
      <c r="M18" s="330"/>
      <c r="Q18" s="328" t="s">
        <v>275</v>
      </c>
      <c r="R18" s="331" t="s">
        <v>281</v>
      </c>
      <c r="S18" s="331" t="s">
        <v>282</v>
      </c>
      <c r="T18" s="332" t="s">
        <v>281</v>
      </c>
      <c r="U18" s="332" t="s">
        <v>282</v>
      </c>
      <c r="V18" s="333" t="s">
        <v>283</v>
      </c>
      <c r="W18" s="333" t="s">
        <v>284</v>
      </c>
      <c r="X18" s="334" t="s">
        <v>283</v>
      </c>
      <c r="Y18" s="334" t="s">
        <v>284</v>
      </c>
      <c r="AB18" s="331" t="s">
        <v>281</v>
      </c>
      <c r="AC18" s="331" t="s">
        <v>282</v>
      </c>
      <c r="AD18" s="332" t="s">
        <v>281</v>
      </c>
      <c r="AE18" s="332" t="s">
        <v>282</v>
      </c>
      <c r="AF18" s="333" t="s">
        <v>283</v>
      </c>
      <c r="AG18" s="333" t="s">
        <v>284</v>
      </c>
      <c r="AH18" s="334" t="s">
        <v>283</v>
      </c>
      <c r="AI18" s="334" t="s">
        <v>284</v>
      </c>
    </row>
    <row r="19" spans="1:35">
      <c r="A19" s="335" t="s">
        <v>285</v>
      </c>
      <c r="B19" s="336">
        <f>'Réserves 2023'!AB14</f>
        <v>0.6789056361168655</v>
      </c>
      <c r="C19" s="337">
        <f>'Réserves 2022'!AA$14</f>
        <v>0.93669547824844612</v>
      </c>
      <c r="D19" s="336">
        <f>'Réserves 2023'!Z14</f>
        <v>0.61410100721480099</v>
      </c>
      <c r="E19" s="337">
        <f>'Réserves 2022'!Y$14</f>
        <v>0.91642260161440092</v>
      </c>
      <c r="F19" s="336">
        <f t="shared" ref="F19:F26" si="4">B4</f>
        <v>0.56804057432673749</v>
      </c>
      <c r="M19" s="369"/>
      <c r="P19" s="370"/>
      <c r="Q19" s="335" t="s">
        <v>285</v>
      </c>
      <c r="R19" s="338">
        <f>'Réserves 2023'!AB$14</f>
        <v>0.6789056361168655</v>
      </c>
      <c r="S19" s="339">
        <f>'Réserves 2023'!AA$14</f>
        <v>47.52</v>
      </c>
      <c r="T19" s="340">
        <f>'Réserves 2022'!AA$14</f>
        <v>0.93669547824844612</v>
      </c>
      <c r="U19" s="341">
        <f>'Réserves 2022'!Z$14</f>
        <v>65.563999999999993</v>
      </c>
      <c r="V19" s="340">
        <f t="shared" ref="V19:W26" si="5">R19-T19</f>
        <v>-0.25778984213158063</v>
      </c>
      <c r="W19" s="339">
        <f t="shared" si="5"/>
        <v>-18.04399999999999</v>
      </c>
      <c r="X19" s="342">
        <f t="shared" ref="X19:Y26" si="6">R19-AB19</f>
        <v>6.4804628902064509E-2</v>
      </c>
      <c r="Y19" s="343">
        <f t="shared" si="6"/>
        <v>4.5360000000000085</v>
      </c>
      <c r="AA19" s="335" t="s">
        <v>285</v>
      </c>
      <c r="AB19" s="338">
        <f>'Réserves 2023'!Z$14</f>
        <v>0.61410100721480099</v>
      </c>
      <c r="AC19" s="339">
        <f>'Réserves 2023'!Y$14</f>
        <v>42.983999999999995</v>
      </c>
      <c r="AD19" s="340">
        <f>'Réserves 2022'!Y$14</f>
        <v>0.91642260161440092</v>
      </c>
      <c r="AE19" s="341">
        <f>'Réserves 2022'!X$14</f>
        <v>64.144999999999996</v>
      </c>
      <c r="AF19" s="340">
        <f t="shared" ref="AF19:AG26" si="7">AB19-AD19</f>
        <v>-0.30232159439959994</v>
      </c>
      <c r="AG19" s="339">
        <f t="shared" si="7"/>
        <v>-21.161000000000001</v>
      </c>
      <c r="AH19" s="342">
        <f t="shared" ref="AH19:AI26" si="8">AB19-R4</f>
        <v>4.6060432888063496E-2</v>
      </c>
      <c r="AI19" s="343">
        <f t="shared" si="8"/>
        <v>3.2240000000000038</v>
      </c>
    </row>
    <row r="20" spans="1:35">
      <c r="A20" s="344" t="s">
        <v>286</v>
      </c>
      <c r="B20" s="345">
        <f>'Réserves 2023'!AB16</f>
        <v>0.89905660377358487</v>
      </c>
      <c r="C20" s="346">
        <f>'Réserves 2022'!AA$16</f>
        <v>1.0056603773584907</v>
      </c>
      <c r="D20" s="345">
        <f>'Réserves 2023'!Z16</f>
        <v>0.7212264150943396</v>
      </c>
      <c r="E20" s="346">
        <f>'Réserves 2022'!Y$16</f>
        <v>1.004245283018868</v>
      </c>
      <c r="F20" s="345">
        <f t="shared" si="4"/>
        <v>0.40424528301886797</v>
      </c>
      <c r="M20" s="371"/>
      <c r="P20" s="370"/>
      <c r="Q20" s="344" t="s">
        <v>286</v>
      </c>
      <c r="R20" s="347">
        <f>'Réserves 2023'!AB$16</f>
        <v>0.89905660377358487</v>
      </c>
      <c r="S20" s="348">
        <f>'Réserves 2023'!AA$16</f>
        <v>19.059999999999999</v>
      </c>
      <c r="T20" s="349">
        <f>'Réserves 2022'!AA$16</f>
        <v>1.0056603773584907</v>
      </c>
      <c r="U20" s="350">
        <f>'Réserves 2022'!Z$16</f>
        <v>21.32</v>
      </c>
      <c r="V20" s="351">
        <f t="shared" si="5"/>
        <v>-0.1066037735849058</v>
      </c>
      <c r="W20" s="352">
        <f t="shared" si="5"/>
        <v>-2.2600000000000016</v>
      </c>
      <c r="X20" s="353">
        <f t="shared" si="6"/>
        <v>0.17783018867924527</v>
      </c>
      <c r="Y20" s="354">
        <f t="shared" si="6"/>
        <v>3.7699999999999996</v>
      </c>
      <c r="AA20" s="344" t="s">
        <v>286</v>
      </c>
      <c r="AB20" s="347">
        <f>'Réserves 2023'!Z$16</f>
        <v>0.7212264150943396</v>
      </c>
      <c r="AC20" s="348">
        <f>'Réserves 2023'!Y$16</f>
        <v>15.29</v>
      </c>
      <c r="AD20" s="349">
        <f>'Réserves 2022'!Y$16</f>
        <v>1.004245283018868</v>
      </c>
      <c r="AE20" s="350">
        <f>'Réserves 2022'!X$16</f>
        <v>21.29</v>
      </c>
      <c r="AF20" s="351">
        <f t="shared" si="7"/>
        <v>-0.28301886792452835</v>
      </c>
      <c r="AG20" s="352">
        <f t="shared" si="7"/>
        <v>-6</v>
      </c>
      <c r="AH20" s="353">
        <f t="shared" si="8"/>
        <v>0.31698113207547163</v>
      </c>
      <c r="AI20" s="354">
        <f t="shared" si="8"/>
        <v>6.7199999999999989</v>
      </c>
    </row>
    <row r="21" spans="1:35">
      <c r="A21" s="335" t="s">
        <v>287</v>
      </c>
      <c r="B21" s="336">
        <f>'Réserves 2023'!AB18</f>
        <v>0.99787985865724393</v>
      </c>
      <c r="C21" s="337">
        <f>'Réserves 2022'!AA$18</f>
        <v>1.0047450782433116</v>
      </c>
      <c r="D21" s="336">
        <f>'Réserves 2023'!Z18</f>
        <v>0.88714790509843522</v>
      </c>
      <c r="E21" s="337">
        <f>'Réserves 2022'!Y$18</f>
        <v>1.0049469964664313</v>
      </c>
      <c r="F21" s="336">
        <f t="shared" si="4"/>
        <v>0.67440686521958604</v>
      </c>
      <c r="M21" s="371"/>
      <c r="P21" s="370"/>
      <c r="Q21" s="335" t="s">
        <v>287</v>
      </c>
      <c r="R21" s="338">
        <f>'Réserves 2023'!AB$18</f>
        <v>0.99787985865724393</v>
      </c>
      <c r="S21" s="339">
        <f>'Réserves 2023'!AA$18</f>
        <v>4.9420000000000002</v>
      </c>
      <c r="T21" s="340">
        <f>'Réserves 2022'!AA$18</f>
        <v>1.0047450782433116</v>
      </c>
      <c r="U21" s="341">
        <f>'Réserves 2022'!Z$18</f>
        <v>4.976</v>
      </c>
      <c r="V21" s="340">
        <f t="shared" si="5"/>
        <v>-6.8652195860676724E-3</v>
      </c>
      <c r="W21" s="339">
        <f t="shared" si="5"/>
        <v>-3.3999999999999808E-2</v>
      </c>
      <c r="X21" s="342">
        <f t="shared" si="6"/>
        <v>0.11073195355880872</v>
      </c>
      <c r="Y21" s="343">
        <f t="shared" si="6"/>
        <v>0.5484</v>
      </c>
      <c r="AA21" s="335" t="s">
        <v>287</v>
      </c>
      <c r="AB21" s="338">
        <f>'Réserves 2023'!Z$18</f>
        <v>0.88714790509843522</v>
      </c>
      <c r="AC21" s="339">
        <f>'Réserves 2023'!Y$18</f>
        <v>4.3936000000000002</v>
      </c>
      <c r="AD21" s="340">
        <f>'Réserves 2022'!Y$18</f>
        <v>1.0049469964664313</v>
      </c>
      <c r="AE21" s="341">
        <f>'Réserves 2022'!X$18</f>
        <v>4.9770000000000003</v>
      </c>
      <c r="AF21" s="340">
        <f t="shared" si="7"/>
        <v>-0.11779909136799604</v>
      </c>
      <c r="AG21" s="339">
        <f t="shared" si="7"/>
        <v>-0.58340000000000014</v>
      </c>
      <c r="AH21" s="342">
        <f t="shared" si="8"/>
        <v>0.21274103987884918</v>
      </c>
      <c r="AI21" s="343">
        <f t="shared" si="8"/>
        <v>1.0536000000000003</v>
      </c>
    </row>
    <row r="22" spans="1:35">
      <c r="A22" s="344" t="s">
        <v>288</v>
      </c>
      <c r="B22" s="345">
        <f>'Réserves 2023'!AB31</f>
        <v>0.45838959907030796</v>
      </c>
      <c r="C22" s="346">
        <f>'Réserves 2022'!AA$31</f>
        <v>0.9152019174898316</v>
      </c>
      <c r="D22" s="345">
        <f>'Réserves 2023'!Z31</f>
        <v>0.39599447269029636</v>
      </c>
      <c r="E22" s="346">
        <f>'Réserves 2022'!Y$31</f>
        <v>0.85222254503195827</v>
      </c>
      <c r="F22" s="345">
        <f t="shared" si="4"/>
        <v>0.33265543288785598</v>
      </c>
      <c r="M22" s="371"/>
      <c r="Q22" s="344" t="s">
        <v>288</v>
      </c>
      <c r="R22" s="347">
        <f>'Réserves 2023'!AB$31</f>
        <v>0.45838959907030796</v>
      </c>
      <c r="S22" s="348">
        <f>'Réserves 2023'!AA$31</f>
        <v>63.111079999999994</v>
      </c>
      <c r="T22" s="349">
        <f>'Réserves 2022'!AA$31</f>
        <v>0.9152019174898316</v>
      </c>
      <c r="U22" s="350">
        <f>'Réserves 2022'!Z$31</f>
        <v>126.005</v>
      </c>
      <c r="V22" s="351">
        <f t="shared" si="5"/>
        <v>-0.45681231841952363</v>
      </c>
      <c r="W22" s="352">
        <f t="shared" si="5"/>
        <v>-62.893920000000001</v>
      </c>
      <c r="X22" s="353">
        <f t="shared" si="6"/>
        <v>6.2395126380011601E-2</v>
      </c>
      <c r="Y22" s="354">
        <f t="shared" si="6"/>
        <v>8.590561000000001</v>
      </c>
      <c r="AA22" s="344" t="s">
        <v>288</v>
      </c>
      <c r="AB22" s="347">
        <f>'Réserves 2023'!Z$31</f>
        <v>0.39599447269029636</v>
      </c>
      <c r="AC22" s="348">
        <f>'Réserves 2023'!Y$31</f>
        <v>54.520518999999993</v>
      </c>
      <c r="AD22" s="349">
        <f>'Réserves 2022'!Y$31</f>
        <v>0.85222254503195827</v>
      </c>
      <c r="AE22" s="350">
        <f>'Réserves 2022'!X$31</f>
        <v>117.334</v>
      </c>
      <c r="AF22" s="351">
        <f t="shared" si="7"/>
        <v>-0.45622807234166191</v>
      </c>
      <c r="AG22" s="352">
        <f t="shared" si="7"/>
        <v>-62.81348100000001</v>
      </c>
      <c r="AH22" s="353">
        <f t="shared" si="8"/>
        <v>6.3339039802440378E-2</v>
      </c>
      <c r="AI22" s="354">
        <f t="shared" si="8"/>
        <v>8.7205189999999888</v>
      </c>
    </row>
    <row r="23" spans="1:35">
      <c r="A23" s="335" t="s">
        <v>289</v>
      </c>
      <c r="B23" s="336">
        <f>'Réserves 2023'!AB45</f>
        <v>1</v>
      </c>
      <c r="C23" s="337">
        <f>'Réserves 2022'!AA$45</f>
        <v>1</v>
      </c>
      <c r="D23" s="336">
        <f>'Réserves 2023'!Z45</f>
        <v>1</v>
      </c>
      <c r="E23" s="337">
        <f>'Réserves 2022'!Y$45</f>
        <v>1</v>
      </c>
      <c r="F23" s="336">
        <f t="shared" si="4"/>
        <v>0</v>
      </c>
      <c r="M23" s="371"/>
      <c r="P23" s="370"/>
      <c r="Q23" s="335" t="s">
        <v>289</v>
      </c>
      <c r="R23" s="338">
        <f>'Réserves 2023'!AB$45</f>
        <v>1</v>
      </c>
      <c r="S23" s="339">
        <f>'Réserves 2023'!AA$45</f>
        <v>8.1999999999999993</v>
      </c>
      <c r="T23" s="340">
        <f>'Réserves 2022'!AA$45</f>
        <v>1</v>
      </c>
      <c r="U23" s="355">
        <f>'Réserves 2022'!Z$45</f>
        <v>8.1999999999999993</v>
      </c>
      <c r="V23" s="340">
        <f t="shared" si="5"/>
        <v>0</v>
      </c>
      <c r="W23" s="339">
        <f t="shared" si="5"/>
        <v>0</v>
      </c>
      <c r="X23" s="342">
        <f t="shared" si="6"/>
        <v>0</v>
      </c>
      <c r="Y23" s="343">
        <f t="shared" si="6"/>
        <v>0</v>
      </c>
      <c r="AA23" s="335" t="s">
        <v>289</v>
      </c>
      <c r="AB23" s="338">
        <f>'Réserves 2023'!Z$45</f>
        <v>1</v>
      </c>
      <c r="AC23" s="339">
        <f>'Réserves 2023'!Y$45</f>
        <v>8.1999999999999993</v>
      </c>
      <c r="AD23" s="340">
        <f>'Réserves 2022'!Y$45</f>
        <v>1</v>
      </c>
      <c r="AE23" s="355">
        <f>'Réserves 2022'!X$45</f>
        <v>8.1999999999999993</v>
      </c>
      <c r="AF23" s="340">
        <f t="shared" si="7"/>
        <v>0</v>
      </c>
      <c r="AG23" s="339">
        <f t="shared" si="7"/>
        <v>0</v>
      </c>
      <c r="AH23" s="342">
        <f t="shared" si="8"/>
        <v>1</v>
      </c>
      <c r="AI23" s="343">
        <f t="shared" si="8"/>
        <v>8.1999999999999993</v>
      </c>
    </row>
    <row r="24" spans="1:35" ht="12.75" customHeight="1">
      <c r="A24" s="344" t="s">
        <v>290</v>
      </c>
      <c r="B24" s="345">
        <f>'Réserves 2023'!AB43</f>
        <v>0.79274454761390623</v>
      </c>
      <c r="C24" s="346">
        <f>'Réserves 2022'!AA$43</f>
        <v>0.98645360973151941</v>
      </c>
      <c r="D24" s="345">
        <f>'Réserves 2023'!Z43</f>
        <v>0.66053408191175411</v>
      </c>
      <c r="E24" s="346">
        <f>'Réserves 2022'!Y$43</f>
        <v>0.93318937594472029</v>
      </c>
      <c r="F24" s="345">
        <f t="shared" si="4"/>
        <v>0.58691427337508106</v>
      </c>
      <c r="J24" s="459" t="s">
        <v>307</v>
      </c>
      <c r="K24" s="459"/>
      <c r="L24" s="459"/>
      <c r="M24" s="371"/>
      <c r="P24" s="370"/>
      <c r="Q24" s="344" t="s">
        <v>290</v>
      </c>
      <c r="R24" s="347">
        <f>'Réserves 2023'!AB$43</f>
        <v>0.79274454761390623</v>
      </c>
      <c r="S24" s="348">
        <f>'Réserves 2023'!AA$43</f>
        <v>55.067999999999998</v>
      </c>
      <c r="T24" s="349">
        <f>'Réserves 2022'!AA$43</f>
        <v>0.98645360973151941</v>
      </c>
      <c r="U24" s="350">
        <f>'Réserves 2022'!Z$43</f>
        <v>68.524000000000001</v>
      </c>
      <c r="V24" s="351">
        <f t="shared" si="5"/>
        <v>-0.19370906211761318</v>
      </c>
      <c r="W24" s="352">
        <f t="shared" si="5"/>
        <v>-13.456000000000003</v>
      </c>
      <c r="X24" s="353">
        <f t="shared" si="6"/>
        <v>0.13221046570215211</v>
      </c>
      <c r="Y24" s="354">
        <f t="shared" si="6"/>
        <v>9.1839999999999975</v>
      </c>
      <c r="AA24" s="344" t="s">
        <v>290</v>
      </c>
      <c r="AB24" s="347">
        <f>'Réserves 2023'!Z$43</f>
        <v>0.66053408191175411</v>
      </c>
      <c r="AC24" s="348">
        <f>'Réserves 2023'!Y$43</f>
        <v>45.884</v>
      </c>
      <c r="AD24" s="349">
        <f>'Réserves 2022'!Y$43</f>
        <v>0.93318937594472029</v>
      </c>
      <c r="AE24" s="350">
        <f>'Réserves 2022'!X$43</f>
        <v>64.823999999999998</v>
      </c>
      <c r="AF24" s="351">
        <f t="shared" si="7"/>
        <v>-0.27265529403296618</v>
      </c>
      <c r="AG24" s="352">
        <f t="shared" si="7"/>
        <v>-18.939999999999998</v>
      </c>
      <c r="AH24" s="353">
        <f t="shared" si="8"/>
        <v>7.3619808536673048E-2</v>
      </c>
      <c r="AI24" s="354">
        <f t="shared" si="8"/>
        <v>5.1139999999999901</v>
      </c>
    </row>
    <row r="25" spans="1:35">
      <c r="A25" s="335" t="s">
        <v>291</v>
      </c>
      <c r="B25" s="336">
        <f>'Réserves 2023'!AB58</f>
        <v>0.64518319935382118</v>
      </c>
      <c r="C25" s="337">
        <f>'Réserves 2022'!AA$58</f>
        <v>0.97437080913368457</v>
      </c>
      <c r="D25" s="336">
        <f>'Réserves 2023'!Z58</f>
        <v>0.59073532315345445</v>
      </c>
      <c r="E25" s="337">
        <f>'Réserves 2022'!Y$58</f>
        <v>0.96101132094824149</v>
      </c>
      <c r="F25" s="336">
        <f t="shared" si="4"/>
        <v>0.45642781132607657</v>
      </c>
      <c r="J25" s="459"/>
      <c r="K25" s="459"/>
      <c r="L25" s="459"/>
      <c r="M25" s="371"/>
      <c r="P25" s="370"/>
      <c r="Q25" s="335" t="s">
        <v>291</v>
      </c>
      <c r="R25" s="338">
        <f>'Réserves 2023'!AB$58</f>
        <v>0.64518319935382118</v>
      </c>
      <c r="S25" s="339">
        <f>'Réserves 2023'!AA$58</f>
        <v>50.322353999999997</v>
      </c>
      <c r="T25" s="340">
        <f>'Réserves 2022'!AA$58</f>
        <v>0.97437080913368457</v>
      </c>
      <c r="U25" s="341">
        <f>'Réserves 2022'!Z$58</f>
        <v>75.998000000000005</v>
      </c>
      <c r="V25" s="340">
        <f t="shared" si="5"/>
        <v>-0.32918760977986339</v>
      </c>
      <c r="W25" s="339">
        <f t="shared" si="5"/>
        <v>-25.675646000000008</v>
      </c>
      <c r="X25" s="342">
        <f t="shared" si="6"/>
        <v>5.4447876200366729E-2</v>
      </c>
      <c r="Y25" s="343">
        <f t="shared" si="6"/>
        <v>4.2467710000000025</v>
      </c>
      <c r="AA25" s="335" t="s">
        <v>291</v>
      </c>
      <c r="AB25" s="338">
        <f>'Réserves 2023'!Z$58</f>
        <v>0.59073532315345445</v>
      </c>
      <c r="AC25" s="339">
        <f>'Réserves 2023'!Y$58</f>
        <v>46.075582999999995</v>
      </c>
      <c r="AD25" s="340">
        <f>'Réserves 2022'!Y$58</f>
        <v>0.96101132094824149</v>
      </c>
      <c r="AE25" s="341">
        <f>'Réserves 2022'!X$58</f>
        <v>74.956000000000003</v>
      </c>
      <c r="AF25" s="340">
        <f t="shared" si="7"/>
        <v>-0.37027599779478704</v>
      </c>
      <c r="AG25" s="339">
        <f t="shared" si="7"/>
        <v>-28.880417000000008</v>
      </c>
      <c r="AH25" s="342">
        <f t="shared" si="8"/>
        <v>0.13430751182737788</v>
      </c>
      <c r="AI25" s="343">
        <f t="shared" si="8"/>
        <v>10.475582999999993</v>
      </c>
    </row>
    <row r="26" spans="1:35">
      <c r="A26" s="356" t="s">
        <v>292</v>
      </c>
      <c r="B26" s="357">
        <f>'Réserves 2023'!AB60</f>
        <v>0.6373045589162224</v>
      </c>
      <c r="C26" s="358">
        <f>'Réserves 2022'!AA$60</f>
        <v>0.95146852482544464</v>
      </c>
      <c r="D26" s="357">
        <f>'Réserves 2023'!Z60</f>
        <v>0.55803224990660849</v>
      </c>
      <c r="E26" s="358">
        <f>'Réserves 2022'!U$60</f>
        <v>0.85721181187169371</v>
      </c>
      <c r="F26" s="357">
        <f t="shared" si="4"/>
        <v>0.45592653351324913</v>
      </c>
      <c r="J26" s="459"/>
      <c r="K26" s="459"/>
      <c r="L26" s="459"/>
      <c r="M26" s="370"/>
      <c r="P26" s="370"/>
      <c r="Q26" s="356" t="s">
        <v>292</v>
      </c>
      <c r="R26" s="359">
        <f>'Réserves 2023'!AB$60</f>
        <v>0.6373045589162224</v>
      </c>
      <c r="S26" s="360">
        <f>'Réserves 2023'!AA$60</f>
        <v>248.223434</v>
      </c>
      <c r="T26" s="361">
        <f>'Réserves 2022'!AA$60</f>
        <v>0.95146852482544464</v>
      </c>
      <c r="U26" s="362">
        <f>'Réserves 2022'!Z$60</f>
        <v>370.58699999999999</v>
      </c>
      <c r="V26" s="363">
        <f t="shared" si="5"/>
        <v>-0.31416396590922224</v>
      </c>
      <c r="W26" s="364">
        <f t="shared" si="5"/>
        <v>-122.36356599999999</v>
      </c>
      <c r="X26" s="365">
        <f t="shared" si="6"/>
        <v>7.9272309009613906E-2</v>
      </c>
      <c r="Y26" s="366">
        <f t="shared" si="6"/>
        <v>30.875732000000028</v>
      </c>
      <c r="AA26" s="356" t="s">
        <v>292</v>
      </c>
      <c r="AB26" s="359">
        <f>'Réserves 2023'!Z$60</f>
        <v>0.55803224990660849</v>
      </c>
      <c r="AC26" s="360">
        <f>'Réserves 2023'!Y$60</f>
        <v>217.34770199999997</v>
      </c>
      <c r="AD26" s="361">
        <f>'Réserves 2022'!Y$60</f>
        <v>0.91331345260912045</v>
      </c>
      <c r="AE26" s="362">
        <f>'Réserves 2022'!X$60</f>
        <v>355.726</v>
      </c>
      <c r="AF26" s="363">
        <f t="shared" si="7"/>
        <v>-0.35528120270251196</v>
      </c>
      <c r="AG26" s="364">
        <f t="shared" si="7"/>
        <v>-138.37829800000003</v>
      </c>
      <c r="AH26" s="365">
        <f t="shared" si="8"/>
        <v>0.10210571639335936</v>
      </c>
      <c r="AI26" s="366">
        <f t="shared" si="8"/>
        <v>43.507701999999966</v>
      </c>
    </row>
    <row r="27" spans="1:35">
      <c r="J27" s="459"/>
      <c r="K27" s="459"/>
      <c r="L27" s="459"/>
      <c r="M27" s="372"/>
      <c r="P27" s="373"/>
      <c r="Q27" s="374"/>
      <c r="R27" s="9"/>
      <c r="S27" s="9"/>
    </row>
    <row r="28" spans="1:35">
      <c r="A28" s="356" t="s">
        <v>293</v>
      </c>
      <c r="B28" s="367"/>
      <c r="C28" s="368"/>
      <c r="D28" s="368"/>
      <c r="E28" s="368"/>
      <c r="F28" s="368"/>
      <c r="J28" s="459"/>
      <c r="K28" s="459"/>
      <c r="L28" s="459"/>
      <c r="M28" s="9"/>
    </row>
    <row r="29" spans="1:35">
      <c r="B29" s="325"/>
      <c r="C29" s="372"/>
      <c r="D29" s="9"/>
      <c r="F29" s="325"/>
      <c r="M29" s="325"/>
    </row>
    <row r="30" spans="1:35">
      <c r="B30" s="325"/>
      <c r="C30" s="9"/>
      <c r="D30" s="9"/>
      <c r="F30" s="325"/>
      <c r="M30" s="325"/>
      <c r="O30" s="327"/>
    </row>
    <row r="31" spans="1:35">
      <c r="A31" s="73" t="s">
        <v>216</v>
      </c>
      <c r="C31" s="73"/>
      <c r="D31" s="73"/>
      <c r="E31" s="73"/>
    </row>
    <row r="32" spans="1:35">
      <c r="R32" s="458" t="s">
        <v>308</v>
      </c>
      <c r="S32" s="458"/>
      <c r="T32" s="455" t="s">
        <v>309</v>
      </c>
      <c r="U32" s="455"/>
      <c r="V32" s="456" t="s">
        <v>310</v>
      </c>
      <c r="W32" s="456"/>
      <c r="X32" s="457" t="s">
        <v>311</v>
      </c>
      <c r="Y32" s="457"/>
    </row>
    <row r="33" spans="1:45" ht="38.25">
      <c r="A33" s="328" t="s">
        <v>275</v>
      </c>
      <c r="B33" s="329" t="s">
        <v>312</v>
      </c>
      <c r="C33" s="328" t="s">
        <v>313</v>
      </c>
      <c r="D33" s="329" t="s">
        <v>303</v>
      </c>
      <c r="F33" s="325"/>
      <c r="J33" s="375" t="s">
        <v>314</v>
      </c>
      <c r="K33" s="376" t="s">
        <v>315</v>
      </c>
      <c r="L33" s="376" t="s">
        <v>316</v>
      </c>
      <c r="M33" s="325"/>
      <c r="Q33" s="328" t="s">
        <v>275</v>
      </c>
      <c r="R33" s="331" t="s">
        <v>281</v>
      </c>
      <c r="S33" s="331" t="s">
        <v>282</v>
      </c>
      <c r="T33" s="332" t="s">
        <v>281</v>
      </c>
      <c r="U33" s="332" t="s">
        <v>282</v>
      </c>
      <c r="V33" s="333" t="s">
        <v>283</v>
      </c>
      <c r="W33" s="333" t="s">
        <v>284</v>
      </c>
      <c r="X33" s="334" t="s">
        <v>283</v>
      </c>
      <c r="Y33" s="334" t="s">
        <v>284</v>
      </c>
    </row>
    <row r="34" spans="1:45">
      <c r="A34" s="335" t="s">
        <v>285</v>
      </c>
      <c r="B34" s="336">
        <f>'Réserves 2023'!AD$14</f>
        <v>0.77781270090720755</v>
      </c>
      <c r="C34" s="337">
        <f>'Réserves 2022'!AC$14</f>
        <v>0.94586756196871202</v>
      </c>
      <c r="D34" s="336">
        <f t="shared" ref="D34:D41" si="9">B19</f>
        <v>0.6789056361168655</v>
      </c>
      <c r="F34" s="377"/>
      <c r="J34" s="335" t="s">
        <v>285</v>
      </c>
      <c r="K34" s="336">
        <f>'Réserves 2023'!AF$14</f>
        <v>0.80235731123651688</v>
      </c>
      <c r="L34" s="336">
        <f>'Réserves 2023'!AH$14</f>
        <v>0.8333689549253519</v>
      </c>
      <c r="M34" s="377"/>
      <c r="Q34" s="335" t="s">
        <v>285</v>
      </c>
      <c r="R34" s="338">
        <f>'Réserves 2023'!AD$14</f>
        <v>0.77781270090720755</v>
      </c>
      <c r="S34" s="339">
        <f>'Réserves 2023'!AC$14</f>
        <v>54.442999999999998</v>
      </c>
      <c r="T34" s="340">
        <f>'Réserves 2022'!AC$14</f>
        <v>0.94586756196871202</v>
      </c>
      <c r="U34" s="341">
        <f>'Réserves 2022'!AB$14</f>
        <v>66.206000000000003</v>
      </c>
      <c r="V34" s="340">
        <f t="shared" ref="V34:W41" si="10">R34-T34</f>
        <v>-0.16805486106150447</v>
      </c>
      <c r="W34" s="339">
        <f t="shared" si="10"/>
        <v>-11.763000000000005</v>
      </c>
      <c r="X34" s="342">
        <f t="shared" ref="X34:Y41" si="11">R34-R19</f>
        <v>9.8907064790342059E-2</v>
      </c>
      <c r="Y34" s="343">
        <f t="shared" si="11"/>
        <v>6.9229999999999947</v>
      </c>
    </row>
    <row r="35" spans="1:45">
      <c r="A35" s="344" t="s">
        <v>286</v>
      </c>
      <c r="B35" s="345">
        <f>'Réserves 2023'!AD$16</f>
        <v>0.94245283018867931</v>
      </c>
      <c r="C35" s="346">
        <f>'Réserves 2022'!AC$16</f>
        <v>0.98349056603773599</v>
      </c>
      <c r="D35" s="345">
        <f t="shared" si="9"/>
        <v>0.89905660377358487</v>
      </c>
      <c r="F35" s="377"/>
      <c r="J35" s="378" t="s">
        <v>286</v>
      </c>
      <c r="K35" s="379">
        <f>'Réserves 2023'!AF$16</f>
        <v>0.94103773584905659</v>
      </c>
      <c r="L35" s="379">
        <f>'Réserves 2023'!AH$16</f>
        <v>0.93773584905660379</v>
      </c>
      <c r="M35" s="377"/>
      <c r="Q35" s="344" t="s">
        <v>286</v>
      </c>
      <c r="R35" s="347">
        <f>'Réserves 2023'!AD$16</f>
        <v>0.94245283018867931</v>
      </c>
      <c r="S35" s="348">
        <f>'Réserves 2023'!AC$16</f>
        <v>19.98</v>
      </c>
      <c r="T35" s="349">
        <f>'Réserves 2022'!AC$16</f>
        <v>0.98349056603773599</v>
      </c>
      <c r="U35" s="350">
        <f>'Réserves 2022'!AB$16</f>
        <v>20.85</v>
      </c>
      <c r="V35" s="351">
        <f t="shared" si="10"/>
        <v>-4.1037735849056678E-2</v>
      </c>
      <c r="W35" s="352">
        <f t="shared" si="10"/>
        <v>-0.87000000000000099</v>
      </c>
      <c r="X35" s="353">
        <f t="shared" si="11"/>
        <v>4.3396226415094441E-2</v>
      </c>
      <c r="Y35" s="354">
        <f t="shared" si="11"/>
        <v>0.92000000000000171</v>
      </c>
    </row>
    <row r="36" spans="1:45">
      <c r="A36" s="335" t="s">
        <v>287</v>
      </c>
      <c r="B36" s="336">
        <f>'Réserves 2023'!AD$18</f>
        <v>0.99859384149419483</v>
      </c>
      <c r="C36" s="337">
        <f>'Réserves 2022'!AC$18</f>
        <v>0.99868753154972234</v>
      </c>
      <c r="D36" s="336">
        <f t="shared" si="9"/>
        <v>0.99787985865724393</v>
      </c>
      <c r="F36" s="377"/>
      <c r="J36" s="335" t="s">
        <v>287</v>
      </c>
      <c r="K36" s="336">
        <f>'Réserves 2023'!AF$18</f>
        <v>1.0013124684502777</v>
      </c>
      <c r="L36" s="336">
        <f>'Réserves 2023'!AH$18</f>
        <v>0.99988611812216055</v>
      </c>
      <c r="M36" s="377"/>
      <c r="Q36" s="335" t="s">
        <v>287</v>
      </c>
      <c r="R36" s="338">
        <f>'Réserves 2023'!AD$18</f>
        <v>0.99859384149419483</v>
      </c>
      <c r="S36" s="339">
        <f>'Réserves 2023'!AC$18</f>
        <v>4.9455359999999997</v>
      </c>
      <c r="T36" s="340">
        <f>'Réserves 2022'!AC$18</f>
        <v>0.99868753154972234</v>
      </c>
      <c r="U36" s="341">
        <f>'Réserves 2022'!AB$18</f>
        <v>4.9459999999999997</v>
      </c>
      <c r="V36" s="340">
        <f t="shared" si="10"/>
        <v>-9.3690055527506644E-5</v>
      </c>
      <c r="W36" s="339">
        <f t="shared" si="10"/>
        <v>-4.6400000000001995E-4</v>
      </c>
      <c r="X36" s="342">
        <f t="shared" si="11"/>
        <v>7.1398283695089937E-4</v>
      </c>
      <c r="Y36" s="343">
        <f t="shared" si="11"/>
        <v>3.5359999999995395E-3</v>
      </c>
    </row>
    <row r="37" spans="1:45">
      <c r="A37" s="344" t="s">
        <v>288</v>
      </c>
      <c r="B37" s="345">
        <f>'Réserves 2023'!AD$31</f>
        <v>0.57399767576990124</v>
      </c>
      <c r="C37" s="346">
        <f>'Réserves 2022'!AC$31</f>
        <v>0.94107350377687415</v>
      </c>
      <c r="D37" s="345">
        <f t="shared" si="9"/>
        <v>0.45838959907030796</v>
      </c>
      <c r="F37" s="377"/>
      <c r="J37" s="378" t="s">
        <v>288</v>
      </c>
      <c r="K37" s="379">
        <f>'Réserves 2023'!AF$31</f>
        <v>0.59412043869843134</v>
      </c>
      <c r="L37" s="379">
        <f>'Réserves 2023'!AH$31</f>
        <v>0.62367068564787931</v>
      </c>
      <c r="M37" s="377"/>
      <c r="Q37" s="344" t="s">
        <v>288</v>
      </c>
      <c r="R37" s="347">
        <f>'Réserves 2023'!AD$31</f>
        <v>0.57399767576990124</v>
      </c>
      <c r="S37" s="348">
        <f>'Réserves 2023'!AC$31</f>
        <v>79.027999999999992</v>
      </c>
      <c r="T37" s="349">
        <f>'Réserves 2022'!AC$31</f>
        <v>0.94107350377687415</v>
      </c>
      <c r="U37" s="350">
        <f>'Réserves 2022'!AB$31</f>
        <v>129.56700000000001</v>
      </c>
      <c r="V37" s="351">
        <f t="shared" si="10"/>
        <v>-0.36707582800697292</v>
      </c>
      <c r="W37" s="352">
        <f t="shared" si="10"/>
        <v>-50.539000000000016</v>
      </c>
      <c r="X37" s="353">
        <f t="shared" si="11"/>
        <v>0.11560807669959328</v>
      </c>
      <c r="Y37" s="354">
        <f t="shared" si="11"/>
        <v>15.916919999999998</v>
      </c>
    </row>
    <row r="38" spans="1:45">
      <c r="A38" s="335" t="s">
        <v>289</v>
      </c>
      <c r="B38" s="336">
        <f>'Réserves 2023'!AD$45</f>
        <v>1</v>
      </c>
      <c r="C38" s="337">
        <f>'Réserves 2022'!AC$45</f>
        <v>0.97317073170731716</v>
      </c>
      <c r="D38" s="336">
        <f t="shared" si="9"/>
        <v>1</v>
      </c>
      <c r="F38" s="377"/>
      <c r="J38" s="335" t="s">
        <v>289</v>
      </c>
      <c r="K38" s="336">
        <f>'Réserves 2023'!AF$45</f>
        <v>1</v>
      </c>
      <c r="L38" s="336">
        <f>'Réserves 2023'!AH$45</f>
        <v>1</v>
      </c>
      <c r="M38" s="377"/>
      <c r="Q38" s="335" t="s">
        <v>289</v>
      </c>
      <c r="R38" s="338">
        <f>'Réserves 2023'!AD$45</f>
        <v>1</v>
      </c>
      <c r="S38" s="339">
        <f>'Réserves 2023'!AC$45</f>
        <v>8.1999999999999993</v>
      </c>
      <c r="T38" s="340">
        <f>'Réserves 2022'!AC$45</f>
        <v>0.97317073170731716</v>
      </c>
      <c r="U38" s="355">
        <f>'Réserves 2022'!AB$45</f>
        <v>7.98</v>
      </c>
      <c r="V38" s="340">
        <f t="shared" si="10"/>
        <v>2.682926829268284E-2</v>
      </c>
      <c r="W38" s="339">
        <f t="shared" si="10"/>
        <v>0.21999999999999886</v>
      </c>
      <c r="X38" s="342">
        <f t="shared" si="11"/>
        <v>0</v>
      </c>
      <c r="Y38" s="343">
        <f t="shared" si="11"/>
        <v>0</v>
      </c>
    </row>
    <row r="39" spans="1:45">
      <c r="A39" s="344" t="s">
        <v>290</v>
      </c>
      <c r="B39" s="345">
        <f>'Réserves 2023'!AD$43</f>
        <v>0.95718707262650249</v>
      </c>
      <c r="C39" s="346">
        <f>'Réserves 2022'!AC$43</f>
        <v>0.95865543799035491</v>
      </c>
      <c r="D39" s="345">
        <f t="shared" si="9"/>
        <v>0.79274454761390623</v>
      </c>
      <c r="F39" s="377"/>
      <c r="J39" s="378" t="s">
        <v>290</v>
      </c>
      <c r="K39" s="379">
        <f>'Réserves 2023'!AF$43</f>
        <v>0.96979773986899875</v>
      </c>
      <c r="L39" s="379">
        <f>'Réserves 2023'!AH$43</f>
        <v>0.97341107032318441</v>
      </c>
      <c r="M39" s="377"/>
      <c r="Q39" s="344" t="s">
        <v>290</v>
      </c>
      <c r="R39" s="347">
        <f>'Réserves 2023'!AD$43</f>
        <v>0.95718707262650249</v>
      </c>
      <c r="S39" s="348">
        <f>'Réserves 2023'!AC$43</f>
        <v>66.491</v>
      </c>
      <c r="T39" s="349">
        <f>'Réserves 2022'!AC$43</f>
        <v>0.95865543799035491</v>
      </c>
      <c r="U39" s="350">
        <f>'Réserves 2022'!AB$43</f>
        <v>66.593000000000004</v>
      </c>
      <c r="V39" s="351">
        <f t="shared" si="10"/>
        <v>-1.4683653638524197E-3</v>
      </c>
      <c r="W39" s="352">
        <f t="shared" si="10"/>
        <v>-0.10200000000000387</v>
      </c>
      <c r="X39" s="353">
        <f t="shared" si="11"/>
        <v>0.16444252501259626</v>
      </c>
      <c r="Y39" s="354">
        <f t="shared" si="11"/>
        <v>11.423000000000002</v>
      </c>
    </row>
    <row r="40" spans="1:45">
      <c r="A40" s="335" t="s">
        <v>291</v>
      </c>
      <c r="B40" s="336">
        <f>'Réserves 2023'!AD$58</f>
        <v>0.78584103234739788</v>
      </c>
      <c r="C40" s="337">
        <f>'Réserves 2022'!AC$58</f>
        <v>0.94498506352808431</v>
      </c>
      <c r="D40" s="336">
        <f t="shared" si="9"/>
        <v>0.64518319935382118</v>
      </c>
      <c r="F40" s="377"/>
      <c r="J40" s="335" t="s">
        <v>291</v>
      </c>
      <c r="K40" s="336">
        <f>'Réserves 2023'!AF$58</f>
        <v>0.81313128710078586</v>
      </c>
      <c r="L40" s="336">
        <f>'Réserves 2023'!AH$58</f>
        <v>0.82484354526456138</v>
      </c>
      <c r="M40" s="377"/>
      <c r="Q40" s="335" t="s">
        <v>291</v>
      </c>
      <c r="R40" s="338">
        <f>'Réserves 2023'!AD$58</f>
        <v>0.78584103234739788</v>
      </c>
      <c r="S40" s="339">
        <f>'Réserves 2023'!AC$58</f>
        <v>61.293243000000004</v>
      </c>
      <c r="T40" s="340">
        <f>'Réserves 2022'!AC$58</f>
        <v>0.94498506352808431</v>
      </c>
      <c r="U40" s="341">
        <f>'Réserves 2022'!AB$58</f>
        <v>73.706000000000003</v>
      </c>
      <c r="V40" s="340">
        <f t="shared" si="10"/>
        <v>-0.15914403118068643</v>
      </c>
      <c r="W40" s="339">
        <f t="shared" si="10"/>
        <v>-12.412756999999999</v>
      </c>
      <c r="X40" s="342">
        <f t="shared" si="11"/>
        <v>0.1406578329935767</v>
      </c>
      <c r="Y40" s="343">
        <f t="shared" si="11"/>
        <v>10.970889000000007</v>
      </c>
    </row>
    <row r="41" spans="1:45">
      <c r="A41" s="356" t="s">
        <v>292</v>
      </c>
      <c r="B41" s="357">
        <f>'Réserves 2023'!AD$60</f>
        <v>0.75581184858641881</v>
      </c>
      <c r="C41" s="358">
        <f>'Réserves 2022'!AC$60</f>
        <v>0.94957116944102482</v>
      </c>
      <c r="D41" s="357">
        <f t="shared" si="9"/>
        <v>0.6373045589162224</v>
      </c>
      <c r="F41" s="327"/>
      <c r="J41" s="141" t="s">
        <v>292</v>
      </c>
      <c r="K41" s="380">
        <f>'Réserves 2023'!AF$60</f>
        <v>0.7750075496258565</v>
      </c>
      <c r="L41" s="380">
        <f>'Réserves 2023'!AH$60</f>
        <v>0.79381831345902787</v>
      </c>
      <c r="M41" s="327"/>
      <c r="Q41" s="356" t="s">
        <v>292</v>
      </c>
      <c r="R41" s="359">
        <f>'Réserves 2023'!AD$60</f>
        <v>0.75581184858641881</v>
      </c>
      <c r="S41" s="360">
        <f>'Réserves 2023'!AC$60</f>
        <v>294.38077899999996</v>
      </c>
      <c r="T41" s="361">
        <f>'Réserves 2022'!AC$60</f>
        <v>0.94957116944102482</v>
      </c>
      <c r="U41" s="362">
        <f>'Réserves 2022'!AB$60</f>
        <v>369.84800000000001</v>
      </c>
      <c r="V41" s="363">
        <f t="shared" si="10"/>
        <v>-0.19375932085460601</v>
      </c>
      <c r="W41" s="364">
        <f t="shared" si="10"/>
        <v>-75.467221000000052</v>
      </c>
      <c r="X41" s="365">
        <f t="shared" si="11"/>
        <v>0.11850728967019641</v>
      </c>
      <c r="Y41" s="366">
        <f t="shared" si="11"/>
        <v>46.157344999999964</v>
      </c>
    </row>
    <row r="43" spans="1:45">
      <c r="A43" s="356" t="s">
        <v>293</v>
      </c>
      <c r="B43" s="381">
        <f>'Réserves 2023'!AD$73</f>
        <v>1</v>
      </c>
      <c r="C43" s="382">
        <f>'Réserves 2022'!AC$73</f>
        <v>1</v>
      </c>
      <c r="D43" s="382"/>
      <c r="F43" s="325"/>
      <c r="J43" s="383" t="s">
        <v>293</v>
      </c>
      <c r="K43" s="384">
        <f>'Réserves 2023'!AF$73</f>
        <v>1</v>
      </c>
      <c r="L43" s="384">
        <f>'Réserves 2023'!AH$73</f>
        <v>1</v>
      </c>
      <c r="M43" s="325"/>
      <c r="Q43" s="356" t="s">
        <v>293</v>
      </c>
      <c r="R43" s="381">
        <f>'Réserves 2023'!AD73</f>
        <v>1</v>
      </c>
      <c r="S43" s="360">
        <f>'Réserves 2023'!AC$73</f>
        <v>48</v>
      </c>
      <c r="T43" s="361">
        <f>'Réserves 2022'!AC73</f>
        <v>1</v>
      </c>
      <c r="U43" s="362">
        <f>'Réserves 2022'!AB69</f>
        <v>48</v>
      </c>
      <c r="V43" s="363">
        <f>R43-T43</f>
        <v>0</v>
      </c>
      <c r="W43" s="364">
        <f>S43-U43</f>
        <v>0</v>
      </c>
    </row>
    <row r="44" spans="1:45">
      <c r="B44" s="325"/>
      <c r="C44" s="9"/>
      <c r="D44" s="9"/>
      <c r="F44" s="325"/>
      <c r="M44" s="325"/>
    </row>
    <row r="45" spans="1:45">
      <c r="A45" s="73" t="s">
        <v>217</v>
      </c>
      <c r="E45" s="73"/>
    </row>
    <row r="46" spans="1:45">
      <c r="R46" s="458" t="s">
        <v>317</v>
      </c>
      <c r="S46" s="458"/>
      <c r="T46" s="455" t="s">
        <v>318</v>
      </c>
      <c r="U46" s="455"/>
      <c r="V46" s="456" t="s">
        <v>319</v>
      </c>
      <c r="W46" s="456"/>
      <c r="X46" s="457" t="s">
        <v>320</v>
      </c>
      <c r="Y46" s="457"/>
      <c r="AB46" s="458" t="s">
        <v>321</v>
      </c>
      <c r="AC46" s="458"/>
      <c r="AD46" s="455" t="s">
        <v>322</v>
      </c>
      <c r="AE46" s="455"/>
      <c r="AF46" s="456" t="s">
        <v>323</v>
      </c>
      <c r="AG46" s="456"/>
      <c r="AH46" s="457" t="s">
        <v>324</v>
      </c>
      <c r="AI46" s="457"/>
      <c r="AL46" s="458" t="s">
        <v>325</v>
      </c>
      <c r="AM46" s="458"/>
      <c r="AN46" s="455" t="s">
        <v>326</v>
      </c>
      <c r="AO46" s="455"/>
      <c r="AP46" s="456" t="s">
        <v>327</v>
      </c>
      <c r="AQ46" s="456"/>
      <c r="AR46" s="457" t="s">
        <v>328</v>
      </c>
      <c r="AS46" s="457"/>
    </row>
    <row r="47" spans="1:45" ht="51">
      <c r="A47" s="328" t="s">
        <v>275</v>
      </c>
      <c r="B47" s="329" t="s">
        <v>329</v>
      </c>
      <c r="C47" s="328" t="s">
        <v>330</v>
      </c>
      <c r="D47" s="329" t="s">
        <v>312</v>
      </c>
      <c r="F47" s="325"/>
      <c r="J47" s="375" t="s">
        <v>314</v>
      </c>
      <c r="K47" s="376" t="s">
        <v>331</v>
      </c>
      <c r="L47" s="376" t="s">
        <v>332</v>
      </c>
      <c r="M47" s="325"/>
      <c r="Q47" s="328" t="s">
        <v>275</v>
      </c>
      <c r="R47" s="331" t="s">
        <v>281</v>
      </c>
      <c r="S47" s="331" t="s">
        <v>282</v>
      </c>
      <c r="T47" s="332" t="s">
        <v>281</v>
      </c>
      <c r="U47" s="332" t="s">
        <v>282</v>
      </c>
      <c r="V47" s="333" t="s">
        <v>283</v>
      </c>
      <c r="W47" s="333" t="s">
        <v>284</v>
      </c>
      <c r="X47" s="334" t="s">
        <v>283</v>
      </c>
      <c r="Y47" s="334" t="s">
        <v>284</v>
      </c>
      <c r="AA47" s="328" t="s">
        <v>275</v>
      </c>
      <c r="AB47" s="331" t="s">
        <v>281</v>
      </c>
      <c r="AC47" s="331" t="s">
        <v>282</v>
      </c>
      <c r="AD47" s="332" t="s">
        <v>281</v>
      </c>
      <c r="AE47" s="332" t="s">
        <v>282</v>
      </c>
      <c r="AF47" s="333" t="s">
        <v>283</v>
      </c>
      <c r="AG47" s="333" t="s">
        <v>284</v>
      </c>
      <c r="AH47" s="334" t="s">
        <v>283</v>
      </c>
      <c r="AI47" s="334" t="s">
        <v>284</v>
      </c>
      <c r="AK47" s="328" t="s">
        <v>275</v>
      </c>
      <c r="AL47" s="331" t="s">
        <v>281</v>
      </c>
      <c r="AM47" s="331" t="s">
        <v>282</v>
      </c>
      <c r="AN47" s="332" t="s">
        <v>281</v>
      </c>
      <c r="AO47" s="332" t="s">
        <v>282</v>
      </c>
      <c r="AP47" s="333" t="s">
        <v>283</v>
      </c>
      <c r="AQ47" s="333" t="s">
        <v>284</v>
      </c>
      <c r="AR47" s="334" t="s">
        <v>283</v>
      </c>
      <c r="AS47" s="334" t="s">
        <v>284</v>
      </c>
    </row>
    <row r="48" spans="1:45">
      <c r="A48" s="335" t="s">
        <v>285</v>
      </c>
      <c r="B48" s="336">
        <f>'Réserves 2023'!AJ$14</f>
        <v>0.85569644974641035</v>
      </c>
      <c r="C48" s="337">
        <f>'Réserves 2022'!AI$14</f>
        <v>0.86503321665833266</v>
      </c>
      <c r="D48" s="336">
        <f t="shared" ref="D48:D55" si="12">B34</f>
        <v>0.77781270090720755</v>
      </c>
      <c r="J48" s="335" t="s">
        <v>285</v>
      </c>
      <c r="K48" s="336">
        <f>'Réserves 2023'!AL$14</f>
        <v>0.85095363954568182</v>
      </c>
      <c r="L48" s="336">
        <f>'Réserves 2023'!AN$14</f>
        <v>0.80997356954068145</v>
      </c>
      <c r="Q48" s="335" t="s">
        <v>285</v>
      </c>
      <c r="R48" s="338">
        <f>'Réserves 2023'!AJ$14</f>
        <v>0.85569644974641035</v>
      </c>
      <c r="S48" s="339">
        <f>'Réserves 2023'!AI$14</f>
        <v>59.894472999999998</v>
      </c>
      <c r="T48" s="340">
        <f>'Réserves 2022'!AI$14</f>
        <v>0.86503321665833266</v>
      </c>
      <c r="U48" s="341">
        <f>'Réserves 2022'!AH$14</f>
        <v>60.548000000000002</v>
      </c>
      <c r="V48" s="340">
        <f t="shared" ref="V48:W55" si="13">R48-T48</f>
        <v>-9.3367669119223118E-3</v>
      </c>
      <c r="W48" s="339">
        <f t="shared" si="13"/>
        <v>-0.65352700000000397</v>
      </c>
      <c r="X48" s="342">
        <f t="shared" ref="X48:Y55" si="14">R48-R34</f>
        <v>7.7883748839202793E-2</v>
      </c>
      <c r="Y48" s="343">
        <f t="shared" si="14"/>
        <v>5.451473</v>
      </c>
      <c r="AA48" s="335" t="s">
        <v>285</v>
      </c>
      <c r="AB48" s="338">
        <f>'Réserves 2023'!AL$14</f>
        <v>0.85095363954568182</v>
      </c>
      <c r="AC48" s="339">
        <f>'Réserves 2023'!AK$14</f>
        <v>59.5625</v>
      </c>
      <c r="AD48" s="340">
        <f>'Réserves 2022'!AK$14</f>
        <v>0.78955639688549173</v>
      </c>
      <c r="AE48" s="341">
        <f>'Réserves 2022'!AJ$14</f>
        <v>55.265000000000001</v>
      </c>
      <c r="AF48" s="340">
        <f t="shared" ref="AF48:AG55" si="15">AB48-AD48</f>
        <v>6.1397242660190088E-2</v>
      </c>
      <c r="AG48" s="339">
        <f t="shared" si="15"/>
        <v>4.2974999999999994</v>
      </c>
      <c r="AH48" s="342">
        <f t="shared" ref="AH48:AI55" si="16">AB48-R48</f>
        <v>-4.7428102007285311E-3</v>
      </c>
      <c r="AI48" s="343">
        <f t="shared" si="16"/>
        <v>-0.33197299999999785</v>
      </c>
      <c r="AK48" s="335" t="s">
        <v>285</v>
      </c>
      <c r="AL48" s="338">
        <f>'Réserves 2023'!AN$14</f>
        <v>0.80997356954068145</v>
      </c>
      <c r="AM48" s="339">
        <f>'Réserves 2023'!AM$14</f>
        <v>56.694099999999999</v>
      </c>
      <c r="AN48" s="340">
        <f>'Réserves 2022'!AM$14</f>
        <v>0.66550467890563614</v>
      </c>
      <c r="AO48" s="341">
        <f>'Réserves 2022'!AL$14</f>
        <v>46.582000000000001</v>
      </c>
      <c r="AP48" s="340">
        <f t="shared" ref="AP48:AQ55" si="17">AL48-AN48</f>
        <v>0.14446889063504531</v>
      </c>
      <c r="AQ48" s="339">
        <f t="shared" si="17"/>
        <v>10.112099999999998</v>
      </c>
      <c r="AR48" s="342">
        <f t="shared" ref="AR48:AS55" si="18">AL48-AB48</f>
        <v>-4.0980070005000369E-2</v>
      </c>
      <c r="AS48" s="343">
        <f t="shared" si="18"/>
        <v>-2.8684000000000012</v>
      </c>
    </row>
    <row r="49" spans="1:45">
      <c r="A49" s="344" t="s">
        <v>286</v>
      </c>
      <c r="B49" s="345">
        <f>'Réserves 2023'!AJ$16</f>
        <v>0.92264150943396228</v>
      </c>
      <c r="C49" s="346">
        <f>'Réserves 2022'!AI$16</f>
        <v>0.95235849056603783</v>
      </c>
      <c r="D49" s="345">
        <f t="shared" si="12"/>
        <v>0.94245283018867931</v>
      </c>
      <c r="J49" s="378" t="s">
        <v>286</v>
      </c>
      <c r="K49" s="379">
        <f>'Réserves 2023'!AL$16</f>
        <v>0.87358490566037739</v>
      </c>
      <c r="L49" s="379">
        <f>'Réserves 2023'!AN$16</f>
        <v>0.79905660377358478</v>
      </c>
      <c r="Q49" s="344" t="s">
        <v>286</v>
      </c>
      <c r="R49" s="347">
        <f>'Réserves 2023'!AJ$16</f>
        <v>0.92264150943396228</v>
      </c>
      <c r="S49" s="348">
        <f>'Réserves 2023'!AI$16</f>
        <v>19.559999999999999</v>
      </c>
      <c r="T49" s="349">
        <f>'Réserves 2022'!AI$16</f>
        <v>0.95235849056603783</v>
      </c>
      <c r="U49" s="350">
        <f>'Réserves 2022'!AH$16</f>
        <v>20.190000000000001</v>
      </c>
      <c r="V49" s="351">
        <f t="shared" si="13"/>
        <v>-2.9716981132075548E-2</v>
      </c>
      <c r="W49" s="352">
        <f t="shared" si="13"/>
        <v>-0.63000000000000256</v>
      </c>
      <c r="X49" s="353">
        <f t="shared" si="14"/>
        <v>-1.9811320754717032E-2</v>
      </c>
      <c r="Y49" s="354">
        <f t="shared" si="14"/>
        <v>-0.42000000000000171</v>
      </c>
      <c r="AA49" s="344" t="s">
        <v>286</v>
      </c>
      <c r="AB49" s="347">
        <f>'Réserves 2023'!AL$16</f>
        <v>0.87358490566037739</v>
      </c>
      <c r="AC49" s="348">
        <f>'Réserves 2023'!AK$16</f>
        <v>18.52</v>
      </c>
      <c r="AD49" s="349">
        <f>'Réserves 2022'!AK$16</f>
        <v>0.92830188679245285</v>
      </c>
      <c r="AE49" s="350">
        <f>'Réserves 2022'!AJ$16</f>
        <v>19.68</v>
      </c>
      <c r="AF49" s="351">
        <f t="shared" si="15"/>
        <v>-5.471698113207546E-2</v>
      </c>
      <c r="AG49" s="352">
        <f t="shared" si="15"/>
        <v>-1.1600000000000001</v>
      </c>
      <c r="AH49" s="353">
        <f t="shared" si="16"/>
        <v>-4.9056603773584895E-2</v>
      </c>
      <c r="AI49" s="354">
        <f t="shared" si="16"/>
        <v>-1.0399999999999991</v>
      </c>
      <c r="AK49" s="344" t="s">
        <v>286</v>
      </c>
      <c r="AL49" s="347">
        <f>'Réserves 2023'!AN$16</f>
        <v>0.79905660377358478</v>
      </c>
      <c r="AM49" s="348">
        <f>'Réserves 2023'!AM$16</f>
        <v>16.939999999999998</v>
      </c>
      <c r="AN49" s="349">
        <f>'Réserves 2022'!AM$16</f>
        <v>0.79952830188679247</v>
      </c>
      <c r="AO49" s="350">
        <f>'Réserves 2022'!AL$16</f>
        <v>16.95</v>
      </c>
      <c r="AP49" s="351">
        <f t="shared" si="17"/>
        <v>-4.7169811320768584E-4</v>
      </c>
      <c r="AQ49" s="352">
        <f t="shared" si="17"/>
        <v>-1.0000000000001563E-2</v>
      </c>
      <c r="AR49" s="353">
        <f t="shared" si="18"/>
        <v>-7.4528301886792603E-2</v>
      </c>
      <c r="AS49" s="354">
        <f t="shared" si="18"/>
        <v>-1.5800000000000018</v>
      </c>
    </row>
    <row r="50" spans="1:45">
      <c r="A50" s="335" t="s">
        <v>287</v>
      </c>
      <c r="B50" s="336">
        <f>'Réserves 2023'!AJ$18</f>
        <v>0.99970843008581534</v>
      </c>
      <c r="C50" s="337">
        <f>'Réserves 2022'!AI$18</f>
        <v>0.99808177688036348</v>
      </c>
      <c r="D50" s="336">
        <f t="shared" si="12"/>
        <v>0.99859384149419483</v>
      </c>
      <c r="J50" s="335" t="s">
        <v>287</v>
      </c>
      <c r="K50" s="336">
        <f>'Réserves 2023'!AL$18</f>
        <v>0.99747925290257455</v>
      </c>
      <c r="L50" s="336">
        <f>'Réserves 2023'!AN$18</f>
        <v>0.96338576476527016</v>
      </c>
      <c r="Q50" s="335" t="s">
        <v>287</v>
      </c>
      <c r="R50" s="338">
        <f>'Réserves 2023'!AJ$18</f>
        <v>0.99970843008581534</v>
      </c>
      <c r="S50" s="339">
        <f>'Réserves 2023'!AI$18</f>
        <v>4.9510560000000003</v>
      </c>
      <c r="T50" s="340">
        <f>'Réserves 2022'!AI$18</f>
        <v>0.99808177688036348</v>
      </c>
      <c r="U50" s="341">
        <f>'Réserves 2022'!AH$18</f>
        <v>4.9429999999999996</v>
      </c>
      <c r="V50" s="340">
        <f t="shared" si="13"/>
        <v>1.6266532054518557E-3</v>
      </c>
      <c r="W50" s="339">
        <f t="shared" si="13"/>
        <v>8.0560000000007292E-3</v>
      </c>
      <c r="X50" s="342">
        <f t="shared" si="14"/>
        <v>1.1145885916205023E-3</v>
      </c>
      <c r="Y50" s="343">
        <f t="shared" si="14"/>
        <v>5.5200000000006355E-3</v>
      </c>
      <c r="AA50" s="335" t="s">
        <v>287</v>
      </c>
      <c r="AB50" s="338">
        <f>'Réserves 2023'!AL$18</f>
        <v>0.99747925290257455</v>
      </c>
      <c r="AC50" s="339">
        <f>'Réserves 2023'!AK$18</f>
        <v>4.940016</v>
      </c>
      <c r="AD50" s="340">
        <f>'Réserves 2022'!AK$18</f>
        <v>0.9889954568399798</v>
      </c>
      <c r="AE50" s="341">
        <f>'Réserves 2022'!AJ$18</f>
        <v>4.8979999999999997</v>
      </c>
      <c r="AF50" s="340">
        <f t="shared" si="15"/>
        <v>8.4837960625947506E-3</v>
      </c>
      <c r="AG50" s="339">
        <f t="shared" si="15"/>
        <v>4.2016000000000275E-2</v>
      </c>
      <c r="AH50" s="342">
        <f t="shared" si="16"/>
        <v>-2.2291771832407825E-3</v>
      </c>
      <c r="AI50" s="343">
        <f t="shared" si="16"/>
        <v>-1.1040000000000383E-2</v>
      </c>
      <c r="AK50" s="335" t="s">
        <v>287</v>
      </c>
      <c r="AL50" s="338">
        <f>'Réserves 2023'!AN$18</f>
        <v>0.96338576476527016</v>
      </c>
      <c r="AM50" s="339">
        <f>'Réserves 2023'!AM$18</f>
        <v>4.7711680000000003</v>
      </c>
      <c r="AN50" s="340">
        <f>'Réserves 2022'!AM$18</f>
        <v>0.96355376072690568</v>
      </c>
      <c r="AO50" s="341">
        <f>'Réserves 2022'!AL$18</f>
        <v>4.7720000000000002</v>
      </c>
      <c r="AP50" s="340">
        <f t="shared" si="17"/>
        <v>-1.6799596163552533E-4</v>
      </c>
      <c r="AQ50" s="339">
        <f t="shared" si="17"/>
        <v>-8.319999999999439E-4</v>
      </c>
      <c r="AR50" s="342">
        <f t="shared" si="18"/>
        <v>-3.4093488137304395E-2</v>
      </c>
      <c r="AS50" s="343">
        <f t="shared" si="18"/>
        <v>-0.16884799999999967</v>
      </c>
    </row>
    <row r="51" spans="1:45">
      <c r="A51" s="344" t="s">
        <v>288</v>
      </c>
      <c r="B51" s="345">
        <f>'Réserves 2023'!AJ$31</f>
        <v>0.63022937245787347</v>
      </c>
      <c r="C51" s="346">
        <f>'Réserves 2022'!AI$31</f>
        <v>0.86997385241138891</v>
      </c>
      <c r="D51" s="345">
        <f t="shared" si="12"/>
        <v>0.57399767576990124</v>
      </c>
      <c r="J51" s="378" t="s">
        <v>288</v>
      </c>
      <c r="K51" s="379">
        <f>'Réserves 2023'!AL$31</f>
        <v>0.62612171702498565</v>
      </c>
      <c r="L51" s="379">
        <f>'Réserves 2023'!AN$31</f>
        <v>0.60013422428820462</v>
      </c>
      <c r="Q51" s="344" t="s">
        <v>288</v>
      </c>
      <c r="R51" s="347">
        <f>'Réserves 2023'!AJ$31</f>
        <v>0.63022937245787347</v>
      </c>
      <c r="S51" s="348">
        <f>'Réserves 2023'!AI$31</f>
        <v>86.769980000000004</v>
      </c>
      <c r="T51" s="349">
        <f>'Réserves 2022'!AI$31</f>
        <v>0.86997385241138891</v>
      </c>
      <c r="U51" s="350">
        <f>'Réserves 2022'!AH$31</f>
        <v>119.77800000000001</v>
      </c>
      <c r="V51" s="351">
        <f t="shared" si="13"/>
        <v>-0.23974447995351544</v>
      </c>
      <c r="W51" s="352">
        <f t="shared" si="13"/>
        <v>-33.008020000000002</v>
      </c>
      <c r="X51" s="353">
        <f t="shared" si="14"/>
        <v>5.6231696687972232E-2</v>
      </c>
      <c r="Y51" s="354">
        <f t="shared" si="14"/>
        <v>7.7419800000000123</v>
      </c>
      <c r="AA51" s="344" t="s">
        <v>288</v>
      </c>
      <c r="AB51" s="347">
        <f>'Réserves 2023'!AL$31</f>
        <v>0.62612171702498565</v>
      </c>
      <c r="AC51" s="348">
        <f>'Réserves 2023'!AK$31</f>
        <v>86.20443800000001</v>
      </c>
      <c r="AD51" s="349">
        <f>'Réserves 2022'!AK$31</f>
        <v>0.81141051714119716</v>
      </c>
      <c r="AE51" s="350">
        <f>'Réserves 2022'!AJ$31</f>
        <v>111.715</v>
      </c>
      <c r="AF51" s="351">
        <f t="shared" si="15"/>
        <v>-0.18528880011621152</v>
      </c>
      <c r="AG51" s="352">
        <f t="shared" si="15"/>
        <v>-25.510561999999993</v>
      </c>
      <c r="AH51" s="353">
        <f t="shared" si="16"/>
        <v>-4.1076554328878245E-3</v>
      </c>
      <c r="AI51" s="354">
        <f t="shared" si="16"/>
        <v>-0.56554199999999355</v>
      </c>
      <c r="AK51" s="344" t="s">
        <v>288</v>
      </c>
      <c r="AL51" s="347">
        <f>'Réserves 2023'!AN$31</f>
        <v>0.60013422428820462</v>
      </c>
      <c r="AM51" s="348">
        <f>'Réserves 2023'!AM$31</f>
        <v>82.626480000000001</v>
      </c>
      <c r="AN51" s="349">
        <f>'Réserves 2022'!AM$31</f>
        <v>0.72062754212667057</v>
      </c>
      <c r="AO51" s="350">
        <f>'Réserves 2022'!AL$31</f>
        <v>99.215999999999994</v>
      </c>
      <c r="AP51" s="351">
        <f t="shared" si="17"/>
        <v>-0.12049331783846595</v>
      </c>
      <c r="AQ51" s="352">
        <f t="shared" si="17"/>
        <v>-16.589519999999993</v>
      </c>
      <c r="AR51" s="353">
        <f t="shared" si="18"/>
        <v>-2.5987492736781026E-2</v>
      </c>
      <c r="AS51" s="354">
        <f t="shared" si="18"/>
        <v>-3.5779580000000095</v>
      </c>
    </row>
    <row r="52" spans="1:45">
      <c r="A52" s="335" t="s">
        <v>289</v>
      </c>
      <c r="B52" s="336">
        <f>'Réserves 2023'!AJ$45</f>
        <v>1</v>
      </c>
      <c r="C52" s="337">
        <f>'Réserves 2022'!AI$45</f>
        <v>0.89634146341463417</v>
      </c>
      <c r="D52" s="336">
        <f t="shared" si="12"/>
        <v>1</v>
      </c>
      <c r="J52" s="335" t="s">
        <v>289</v>
      </c>
      <c r="K52" s="336">
        <f>'Réserves 2023'!AL$45</f>
        <v>0.97560975609756106</v>
      </c>
      <c r="L52" s="336">
        <f>'Réserves 2023'!AN$45</f>
        <v>0.97560975609756106</v>
      </c>
      <c r="Q52" s="335" t="s">
        <v>289</v>
      </c>
      <c r="R52" s="338">
        <f>'Réserves 2023'!AJ$45</f>
        <v>1</v>
      </c>
      <c r="S52" s="339">
        <f>'Réserves 2023'!AI$45</f>
        <v>8.1999999999999993</v>
      </c>
      <c r="T52" s="340">
        <f>'Réserves 2022'!AI$45</f>
        <v>0.89634146341463417</v>
      </c>
      <c r="U52" s="355">
        <f>'Réserves 2022'!AH$45</f>
        <v>7.35</v>
      </c>
      <c r="V52" s="340">
        <f t="shared" si="13"/>
        <v>0.10365853658536583</v>
      </c>
      <c r="W52" s="339">
        <f t="shared" si="13"/>
        <v>0.84999999999999964</v>
      </c>
      <c r="X52" s="342">
        <f t="shared" si="14"/>
        <v>0</v>
      </c>
      <c r="Y52" s="343">
        <f t="shared" si="14"/>
        <v>0</v>
      </c>
      <c r="AA52" s="335" t="s">
        <v>289</v>
      </c>
      <c r="AB52" s="338">
        <f>'Réserves 2023'!AL$45</f>
        <v>0.97560975609756106</v>
      </c>
      <c r="AC52" s="339">
        <f>'Réserves 2023'!AK$45</f>
        <v>8</v>
      </c>
      <c r="AD52" s="340">
        <f>'Réserves 2022'!AK$45</f>
        <v>0.88170731707317085</v>
      </c>
      <c r="AE52" s="355">
        <f>'Réserves 2022'!AJ$45</f>
        <v>7.23</v>
      </c>
      <c r="AF52" s="340">
        <f t="shared" si="15"/>
        <v>9.3902439024390216E-2</v>
      </c>
      <c r="AG52" s="339">
        <f t="shared" si="15"/>
        <v>0.76999999999999957</v>
      </c>
      <c r="AH52" s="342">
        <f t="shared" si="16"/>
        <v>-2.4390243902438935E-2</v>
      </c>
      <c r="AI52" s="343">
        <f t="shared" si="16"/>
        <v>-0.19999999999999929</v>
      </c>
      <c r="AK52" s="335" t="s">
        <v>289</v>
      </c>
      <c r="AL52" s="338">
        <f>'Réserves 2023'!AN$45</f>
        <v>0.97560975609756106</v>
      </c>
      <c r="AM52" s="339">
        <f>'Réserves 2023'!AM$45</f>
        <v>8</v>
      </c>
      <c r="AN52" s="340">
        <f>'Réserves 2022'!AM$45</f>
        <v>0.83414634146341471</v>
      </c>
      <c r="AO52" s="355">
        <f>'Réserves 2022'!AL$45</f>
        <v>6.84</v>
      </c>
      <c r="AP52" s="340">
        <f t="shared" si="17"/>
        <v>0.14146341463414636</v>
      </c>
      <c r="AQ52" s="339">
        <f t="shared" si="17"/>
        <v>1.1600000000000001</v>
      </c>
      <c r="AR52" s="342">
        <f t="shared" si="18"/>
        <v>0</v>
      </c>
      <c r="AS52" s="343">
        <f t="shared" si="18"/>
        <v>0</v>
      </c>
    </row>
    <row r="53" spans="1:45">
      <c r="A53" s="344" t="s">
        <v>290</v>
      </c>
      <c r="B53" s="345">
        <f>'Réserves 2023'!AJ$43</f>
        <v>0.9713582379615634</v>
      </c>
      <c r="C53" s="346">
        <f>'Réserves 2022'!AI$43</f>
        <v>0.85093212409126895</v>
      </c>
      <c r="D53" s="345">
        <f t="shared" si="12"/>
        <v>0.95718707262650249</v>
      </c>
      <c r="J53" s="378" t="s">
        <v>290</v>
      </c>
      <c r="K53" s="379">
        <f>'Réserves 2023'!AL$43</f>
        <v>0.96014251781472693</v>
      </c>
      <c r="L53" s="379">
        <f>'Réserves 2023'!AN$43</f>
        <v>0.91490966673864527</v>
      </c>
      <c r="Q53" s="344" t="s">
        <v>290</v>
      </c>
      <c r="R53" s="347">
        <f>'Réserves 2023'!AJ$43</f>
        <v>0.9713582379615634</v>
      </c>
      <c r="S53" s="348">
        <f>'Réserves 2023'!AI$43</f>
        <v>67.475400000000008</v>
      </c>
      <c r="T53" s="349">
        <f>'Réserves 2022'!AI$43</f>
        <v>0.85093212409126895</v>
      </c>
      <c r="U53" s="350">
        <f>'Réserves 2022'!AH$43</f>
        <v>59.11</v>
      </c>
      <c r="V53" s="351">
        <f t="shared" si="13"/>
        <v>0.12042611387029445</v>
      </c>
      <c r="W53" s="352">
        <f t="shared" si="13"/>
        <v>8.3654000000000082</v>
      </c>
      <c r="X53" s="353">
        <f t="shared" si="14"/>
        <v>1.4171165335060909E-2</v>
      </c>
      <c r="Y53" s="354">
        <f t="shared" si="14"/>
        <v>0.98440000000000794</v>
      </c>
      <c r="AA53" s="344" t="s">
        <v>290</v>
      </c>
      <c r="AB53" s="347">
        <f>'Réserves 2023'!AL$43</f>
        <v>0.96014251781472693</v>
      </c>
      <c r="AC53" s="348">
        <f>'Réserves 2023'!AK$43</f>
        <v>66.696300000000008</v>
      </c>
      <c r="AD53" s="349">
        <f>'Réserves 2022'!AK$43</f>
        <v>0.78292665371050174</v>
      </c>
      <c r="AE53" s="350">
        <f>'Réserves 2022'!AJ$43</f>
        <v>54.386000000000003</v>
      </c>
      <c r="AF53" s="351">
        <f t="shared" si="15"/>
        <v>0.17721586410422518</v>
      </c>
      <c r="AG53" s="352">
        <f t="shared" si="15"/>
        <v>12.310300000000005</v>
      </c>
      <c r="AH53" s="353">
        <f t="shared" si="16"/>
        <v>-1.1215720146836472E-2</v>
      </c>
      <c r="AI53" s="354">
        <f t="shared" si="16"/>
        <v>-0.77909999999999968</v>
      </c>
      <c r="AK53" s="344" t="s">
        <v>290</v>
      </c>
      <c r="AL53" s="347">
        <f>'Réserves 2023'!AN$43</f>
        <v>0.91490966673864527</v>
      </c>
      <c r="AM53" s="348">
        <f>'Réserves 2023'!AM$43</f>
        <v>63.554199999999994</v>
      </c>
      <c r="AN53" s="349">
        <f>'Réserves 2022'!AM$43</f>
        <v>0.68454617433239762</v>
      </c>
      <c r="AO53" s="350">
        <f>'Réserves 2022'!AL$43</f>
        <v>47.552</v>
      </c>
      <c r="AP53" s="351">
        <f t="shared" si="17"/>
        <v>0.23036349240624765</v>
      </c>
      <c r="AQ53" s="352">
        <f t="shared" si="17"/>
        <v>16.002199999999995</v>
      </c>
      <c r="AR53" s="353">
        <f t="shared" si="18"/>
        <v>-4.5232851076081659E-2</v>
      </c>
      <c r="AS53" s="354">
        <f t="shared" si="18"/>
        <v>-3.1421000000000134</v>
      </c>
    </row>
    <row r="54" spans="1:45">
      <c r="A54" s="335" t="s">
        <v>291</v>
      </c>
      <c r="B54" s="336">
        <f>'Réserves 2023'!AJ$58</f>
        <v>0.83299610241419531</v>
      </c>
      <c r="C54" s="337">
        <f>'Réserves 2022'!AI$58</f>
        <v>0.89882944215803151</v>
      </c>
      <c r="D54" s="336">
        <f t="shared" si="12"/>
        <v>0.78584103234739788</v>
      </c>
      <c r="J54" s="335" t="s">
        <v>291</v>
      </c>
      <c r="K54" s="336">
        <f>'Réserves 2023'!AL$58</f>
        <v>0.83030675538802767</v>
      </c>
      <c r="L54" s="336">
        <f>'Réserves 2023'!AN$58</f>
        <v>0.79841028501096201</v>
      </c>
      <c r="Q54" s="335" t="s">
        <v>291</v>
      </c>
      <c r="R54" s="338">
        <f>'Réserves 2023'!AJ$58</f>
        <v>0.83299610241419531</v>
      </c>
      <c r="S54" s="339">
        <f>'Réserves 2023'!AI$58</f>
        <v>64.971197000000004</v>
      </c>
      <c r="T54" s="340">
        <f>'Réserves 2022'!AI$58</f>
        <v>0.89882944215803151</v>
      </c>
      <c r="U54" s="341">
        <f>'Réserves 2022'!AH$58</f>
        <v>70.105999999999995</v>
      </c>
      <c r="V54" s="340">
        <f t="shared" si="13"/>
        <v>-6.5833339743836206E-2</v>
      </c>
      <c r="W54" s="339">
        <f t="shared" si="13"/>
        <v>-5.1348029999999909</v>
      </c>
      <c r="X54" s="342">
        <f t="shared" si="14"/>
        <v>4.7155070066797422E-2</v>
      </c>
      <c r="Y54" s="343">
        <f t="shared" si="14"/>
        <v>3.6779539999999997</v>
      </c>
      <c r="AA54" s="335" t="s">
        <v>291</v>
      </c>
      <c r="AB54" s="338">
        <f>'Réserves 2023'!AL$58</f>
        <v>0.83030675538802767</v>
      </c>
      <c r="AC54" s="339">
        <f>'Réserves 2023'!AK$58</f>
        <v>64.761436000000003</v>
      </c>
      <c r="AD54" s="340">
        <f>'Réserves 2022'!AK$58</f>
        <v>0.81063374232342256</v>
      </c>
      <c r="AE54" s="341">
        <f>'Réserves 2022'!AJ$58</f>
        <v>63.226999999999997</v>
      </c>
      <c r="AF54" s="340">
        <f t="shared" si="15"/>
        <v>1.9673013064605116E-2</v>
      </c>
      <c r="AG54" s="339">
        <f t="shared" si="15"/>
        <v>1.5344360000000066</v>
      </c>
      <c r="AH54" s="342">
        <f t="shared" si="16"/>
        <v>-2.6893470261676322E-3</v>
      </c>
      <c r="AI54" s="343">
        <f t="shared" si="16"/>
        <v>-0.20976100000000031</v>
      </c>
      <c r="AK54" s="335" t="s">
        <v>291</v>
      </c>
      <c r="AL54" s="338">
        <f>'Réserves 2023'!AN$58</f>
        <v>0.79841028501096201</v>
      </c>
      <c r="AM54" s="339">
        <f>'Réserves 2023'!AM$58</f>
        <v>62.273607000000013</v>
      </c>
      <c r="AN54" s="340">
        <f>'Réserves 2022'!AM$58</f>
        <v>0.78279933843609351</v>
      </c>
      <c r="AO54" s="341">
        <f>'Réserves 2022'!AL$58</f>
        <v>61.055999999999997</v>
      </c>
      <c r="AP54" s="340">
        <f t="shared" si="17"/>
        <v>1.5610946574868501E-2</v>
      </c>
      <c r="AQ54" s="339">
        <f t="shared" si="17"/>
        <v>1.2176070000000152</v>
      </c>
      <c r="AR54" s="342">
        <f t="shared" si="18"/>
        <v>-3.1896470377065667E-2</v>
      </c>
      <c r="AS54" s="343">
        <f t="shared" si="18"/>
        <v>-2.4878289999999907</v>
      </c>
    </row>
    <row r="55" spans="1:45">
      <c r="A55" s="356" t="s">
        <v>292</v>
      </c>
      <c r="B55" s="357">
        <f>'Réserves 2023'!AJ$60</f>
        <v>0.80059181569721405</v>
      </c>
      <c r="C55" s="358">
        <f>'Réserves 2022'!AI$60</f>
        <v>0.87813663782977469</v>
      </c>
      <c r="D55" s="357">
        <f t="shared" si="12"/>
        <v>0.75581184858641881</v>
      </c>
      <c r="J55" s="141" t="s">
        <v>292</v>
      </c>
      <c r="K55" s="380">
        <f>'Réserves 2023'!AL$60</f>
        <v>0.79253661523609775</v>
      </c>
      <c r="L55" s="380">
        <f>'Réserves 2023'!AN$60</f>
        <v>0.75704108839904549</v>
      </c>
      <c r="Q55" s="356" t="s">
        <v>292</v>
      </c>
      <c r="R55" s="359">
        <f>'Réserves 2023'!AJ$60</f>
        <v>0.80059181569721405</v>
      </c>
      <c r="S55" s="360">
        <f>'Réserves 2023'!AI$60</f>
        <v>311.82210600000002</v>
      </c>
      <c r="T55" s="361">
        <f>'Réserves 2022'!AI$60</f>
        <v>0.87813663782977469</v>
      </c>
      <c r="U55" s="362">
        <f>'Réserves 2022'!AH$60</f>
        <v>342.02499999999998</v>
      </c>
      <c r="V55" s="363">
        <f t="shared" si="13"/>
        <v>-7.7544822132560642E-2</v>
      </c>
      <c r="W55" s="364">
        <f t="shared" si="13"/>
        <v>-30.202893999999958</v>
      </c>
      <c r="X55" s="365">
        <f t="shared" si="14"/>
        <v>4.4779967110795238E-2</v>
      </c>
      <c r="Y55" s="366">
        <f t="shared" si="14"/>
        <v>17.441327000000058</v>
      </c>
      <c r="AA55" s="356" t="s">
        <v>292</v>
      </c>
      <c r="AB55" s="359">
        <f>'Réserves 2023'!AL$60</f>
        <v>0.79253661523609775</v>
      </c>
      <c r="AC55" s="360">
        <f>'Réserves 2023'!AK$60</f>
        <v>308.68469000000005</v>
      </c>
      <c r="AD55" s="361">
        <f>'Réserves 2022'!AK$60</f>
        <v>0.81234795803224491</v>
      </c>
      <c r="AE55" s="362">
        <f>'Réserves 2022'!AJ$60</f>
        <v>316.40100000000001</v>
      </c>
      <c r="AF55" s="363">
        <f t="shared" si="15"/>
        <v>-1.9811342796147158E-2</v>
      </c>
      <c r="AG55" s="364">
        <f t="shared" si="15"/>
        <v>-7.7163099999999645</v>
      </c>
      <c r="AH55" s="365">
        <f t="shared" si="16"/>
        <v>-8.0552004611162964E-3</v>
      </c>
      <c r="AI55" s="366">
        <f t="shared" si="16"/>
        <v>-3.1374159999999733</v>
      </c>
      <c r="AK55" s="356" t="s">
        <v>292</v>
      </c>
      <c r="AL55" s="359">
        <f>'Réserves 2023'!AN$60</f>
        <v>0.75704108839904549</v>
      </c>
      <c r="AM55" s="360">
        <f>'Réserves 2023'!AM$60</f>
        <v>294.859555</v>
      </c>
      <c r="AN55" s="361">
        <f>'Réserves 2022'!AM$60</f>
        <v>0.72650995726457335</v>
      </c>
      <c r="AO55" s="362">
        <f>'Réserves 2022'!AL$60</f>
        <v>282.96800000000002</v>
      </c>
      <c r="AP55" s="363">
        <f t="shared" si="17"/>
        <v>3.0531131134472145E-2</v>
      </c>
      <c r="AQ55" s="364">
        <f t="shared" si="17"/>
        <v>11.891554999999983</v>
      </c>
      <c r="AR55" s="365">
        <f t="shared" si="18"/>
        <v>-3.549552683705226E-2</v>
      </c>
      <c r="AS55" s="366">
        <f t="shared" si="18"/>
        <v>-13.825135000000046</v>
      </c>
    </row>
    <row r="56" spans="1:45">
      <c r="AE56" s="327"/>
      <c r="AO56" s="327"/>
    </row>
    <row r="57" spans="1:45">
      <c r="A57" s="356" t="s">
        <v>293</v>
      </c>
      <c r="B57" s="381">
        <f>'Réserves 2023'!AJ$73</f>
        <v>0.99999999999999978</v>
      </c>
      <c r="C57" s="382">
        <f>'Réserves 2022'!AI$73</f>
        <v>0.9914452644526448</v>
      </c>
      <c r="D57" s="382">
        <f>B43</f>
        <v>1</v>
      </c>
      <c r="J57" s="383" t="s">
        <v>293</v>
      </c>
      <c r="K57" s="384">
        <f>'Réserves 2023'!AL$73</f>
        <v>0.99766975308641959</v>
      </c>
      <c r="L57" s="384">
        <f>'Réserves 2023'!AN$73</f>
        <v>0.95820115484771839</v>
      </c>
      <c r="Q57" s="356" t="s">
        <v>293</v>
      </c>
      <c r="R57" s="381">
        <f>'Réserves 2023'!AJ73</f>
        <v>0.99999999999999978</v>
      </c>
      <c r="S57" s="360">
        <f>'Réserves 2023'!AI$73</f>
        <v>129.6</v>
      </c>
      <c r="T57" s="361">
        <f>'Réserves 2022'!AI$73</f>
        <v>0.9914452644526448</v>
      </c>
      <c r="U57" s="362">
        <f>'Réserves 2022'!AH$73</f>
        <v>161.209</v>
      </c>
      <c r="V57" s="363">
        <f>R57-T57</f>
        <v>8.5547355473549747E-3</v>
      </c>
      <c r="W57" s="364">
        <f>S57-U57</f>
        <v>-31.609000000000009</v>
      </c>
      <c r="X57" s="365">
        <f>R57-R43</f>
        <v>0</v>
      </c>
      <c r="Y57" s="366">
        <f>S57-S43</f>
        <v>81.599999999999994</v>
      </c>
      <c r="AA57" s="356" t="s">
        <v>293</v>
      </c>
      <c r="AB57" s="381">
        <f>'Réserves 2023'!AL73</f>
        <v>0.99766975308641959</v>
      </c>
      <c r="AC57" s="360">
        <f>'Réserves 2023'!AK$73</f>
        <v>129.298</v>
      </c>
      <c r="AD57" s="361">
        <f>'Réserves 2022'!AK$73</f>
        <v>0.93781057810578128</v>
      </c>
      <c r="AE57" s="362">
        <f>'Réserves 2022'!AJ$73</f>
        <v>152.488</v>
      </c>
      <c r="AF57" s="363">
        <f>AB57-AD57</f>
        <v>5.9859174980638308E-2</v>
      </c>
      <c r="AG57" s="364">
        <f>AC57-AE57</f>
        <v>-23.189999999999998</v>
      </c>
      <c r="AH57" s="365">
        <f>AB57-R57</f>
        <v>-2.3302469135801918E-3</v>
      </c>
      <c r="AI57" s="366">
        <f>AC57-S57</f>
        <v>-0.3019999999999925</v>
      </c>
      <c r="AK57" s="356" t="s">
        <v>293</v>
      </c>
      <c r="AL57" s="381">
        <f>'Réserves 2023'!AN73</f>
        <v>0.95820115484771839</v>
      </c>
      <c r="AM57" s="360">
        <f>'Réserves 2023'!AM$73</f>
        <v>126.94728000000001</v>
      </c>
      <c r="AN57" s="361">
        <f>'Réserves 2022'!AM$73</f>
        <v>0.76911622276029068</v>
      </c>
      <c r="AO57" s="362">
        <f>'Réserves 2022'!AL$73</f>
        <v>127.05800000000001</v>
      </c>
      <c r="AP57" s="363">
        <f>AL57-AN57</f>
        <v>0.18908493208742772</v>
      </c>
      <c r="AQ57" s="364">
        <f>AM57-AO57</f>
        <v>-0.1107200000000006</v>
      </c>
      <c r="AR57" s="365">
        <f>AL57-AB57</f>
        <v>-3.9468598238701191E-2</v>
      </c>
      <c r="AS57" s="366">
        <f>AM57-AC57</f>
        <v>-2.3507199999999955</v>
      </c>
    </row>
    <row r="58" spans="1:45">
      <c r="B58" s="325"/>
      <c r="C58" s="9"/>
      <c r="D58" s="9"/>
      <c r="AB58" s="460"/>
      <c r="AC58" s="460"/>
      <c r="AD58" s="460"/>
      <c r="AE58" s="460"/>
      <c r="AF58" s="461"/>
      <c r="AG58" s="461"/>
      <c r="AH58" s="462"/>
      <c r="AI58" s="462"/>
    </row>
    <row r="59" spans="1:45">
      <c r="A59" s="73" t="s">
        <v>218</v>
      </c>
      <c r="AB59" s="385"/>
      <c r="AC59" s="386"/>
      <c r="AD59" s="374"/>
      <c r="AE59" s="387"/>
      <c r="AF59" s="388"/>
      <c r="AG59" s="389"/>
      <c r="AH59" s="390"/>
      <c r="AI59" s="391"/>
    </row>
    <row r="60" spans="1:45">
      <c r="R60" s="458" t="s">
        <v>333</v>
      </c>
      <c r="S60" s="458"/>
      <c r="T60" s="455" t="s">
        <v>334</v>
      </c>
      <c r="U60" s="455"/>
      <c r="V60" s="456" t="s">
        <v>335</v>
      </c>
      <c r="W60" s="456"/>
      <c r="X60" s="457" t="s">
        <v>336</v>
      </c>
      <c r="Y60" s="457"/>
      <c r="AB60" s="458" t="s">
        <v>337</v>
      </c>
      <c r="AC60" s="458"/>
      <c r="AD60" s="455" t="s">
        <v>338</v>
      </c>
      <c r="AE60" s="455"/>
      <c r="AF60" s="456" t="s">
        <v>339</v>
      </c>
      <c r="AG60" s="456"/>
      <c r="AH60" s="457" t="s">
        <v>340</v>
      </c>
      <c r="AI60" s="457"/>
      <c r="AL60" s="458" t="s">
        <v>341</v>
      </c>
      <c r="AM60" s="458"/>
      <c r="AN60" s="455" t="s">
        <v>342</v>
      </c>
      <c r="AO60" s="455"/>
      <c r="AP60" s="456" t="s">
        <v>343</v>
      </c>
      <c r="AQ60" s="456"/>
      <c r="AR60" s="457" t="s">
        <v>344</v>
      </c>
      <c r="AS60" s="457"/>
    </row>
    <row r="61" spans="1:45" ht="38.25">
      <c r="A61" s="328" t="s">
        <v>275</v>
      </c>
      <c r="B61" s="329" t="s">
        <v>345</v>
      </c>
      <c r="C61" s="328" t="s">
        <v>346</v>
      </c>
      <c r="D61" s="329" t="s">
        <v>329</v>
      </c>
      <c r="F61" s="325"/>
      <c r="J61" s="375" t="s">
        <v>314</v>
      </c>
      <c r="K61" s="376" t="s">
        <v>347</v>
      </c>
      <c r="L61" s="376" t="s">
        <v>348</v>
      </c>
      <c r="M61" s="325"/>
      <c r="Q61" s="328" t="s">
        <v>275</v>
      </c>
      <c r="R61" s="331" t="s">
        <v>281</v>
      </c>
      <c r="S61" s="331" t="s">
        <v>282</v>
      </c>
      <c r="T61" s="332" t="s">
        <v>281</v>
      </c>
      <c r="U61" s="332" t="s">
        <v>282</v>
      </c>
      <c r="V61" s="333" t="s">
        <v>283</v>
      </c>
      <c r="W61" s="333" t="s">
        <v>284</v>
      </c>
      <c r="X61" s="334" t="s">
        <v>283</v>
      </c>
      <c r="Y61" s="334" t="s">
        <v>284</v>
      </c>
      <c r="AA61" s="328" t="s">
        <v>275</v>
      </c>
      <c r="AB61" s="331" t="s">
        <v>281</v>
      </c>
      <c r="AC61" s="331" t="s">
        <v>282</v>
      </c>
      <c r="AD61" s="332" t="s">
        <v>281</v>
      </c>
      <c r="AE61" s="332" t="s">
        <v>282</v>
      </c>
      <c r="AF61" s="333" t="s">
        <v>283</v>
      </c>
      <c r="AG61" s="333" t="s">
        <v>284</v>
      </c>
      <c r="AH61" s="334" t="s">
        <v>283</v>
      </c>
      <c r="AI61" s="334" t="s">
        <v>284</v>
      </c>
      <c r="AK61" s="328" t="s">
        <v>275</v>
      </c>
      <c r="AL61" s="331" t="s">
        <v>281</v>
      </c>
      <c r="AM61" s="331" t="s">
        <v>282</v>
      </c>
      <c r="AN61" s="332" t="s">
        <v>281</v>
      </c>
      <c r="AO61" s="332" t="s">
        <v>282</v>
      </c>
      <c r="AP61" s="333" t="s">
        <v>283</v>
      </c>
      <c r="AQ61" s="333" t="s">
        <v>284</v>
      </c>
      <c r="AR61" s="334" t="s">
        <v>283</v>
      </c>
      <c r="AS61" s="334" t="s">
        <v>284</v>
      </c>
    </row>
    <row r="62" spans="1:45">
      <c r="A62" s="335" t="s">
        <v>285</v>
      </c>
      <c r="B62" s="336">
        <f>'Réserves 2023'!AP$14</f>
        <v>0.75680691477962725</v>
      </c>
      <c r="C62" s="337">
        <f>'Réserves 2022'!AO$14</f>
        <v>0.46293306664761763</v>
      </c>
      <c r="D62" s="336">
        <f t="shared" ref="D62:D69" si="19">B48</f>
        <v>0.85569644974641035</v>
      </c>
      <c r="J62" s="335" t="s">
        <v>285</v>
      </c>
      <c r="K62" s="336">
        <f>'Réserves 2023'!AR$14</f>
        <v>0.69039917136938367</v>
      </c>
      <c r="L62" s="336">
        <f>'Réserves 2023'!AT$14</f>
        <v>0.57755982570183584</v>
      </c>
      <c r="M62" s="73"/>
      <c r="Q62" s="335" t="s">
        <v>285</v>
      </c>
      <c r="R62" s="338">
        <f>'Réserves 2023'!AP$14</f>
        <v>0.75680691477962725</v>
      </c>
      <c r="S62" s="339">
        <f>'Réserves 2023'!AO$14</f>
        <v>52.97270000000001</v>
      </c>
      <c r="T62" s="340">
        <f>'Réserves 2022'!AO$14</f>
        <v>0.46293306664761763</v>
      </c>
      <c r="U62" s="341">
        <f>'Réserves 2022'!AN$14</f>
        <v>32.402999999999999</v>
      </c>
      <c r="V62" s="340">
        <f t="shared" ref="V62:W69" si="20">R62-T62</f>
        <v>0.29387384813200962</v>
      </c>
      <c r="W62" s="339">
        <f t="shared" si="20"/>
        <v>20.569700000000012</v>
      </c>
      <c r="X62" s="342">
        <f t="shared" ref="X62:Y69" si="21">R62-R48</f>
        <v>-9.8889534966783099E-2</v>
      </c>
      <c r="Y62" s="343">
        <f t="shared" si="21"/>
        <v>-6.9217729999999875</v>
      </c>
      <c r="AA62" s="335" t="s">
        <v>285</v>
      </c>
      <c r="AB62" s="338">
        <f>'Réserves 2023'!AR$14</f>
        <v>0.69039917136938367</v>
      </c>
      <c r="AC62" s="339">
        <f>'Réserves 2023'!AQ$14</f>
        <v>48.324490000000011</v>
      </c>
      <c r="AD62" s="340">
        <f>'Réserves 2022'!AQ$14</f>
        <v>0.37076934066719053</v>
      </c>
      <c r="AE62" s="341">
        <f>'Réserves 2022'!AP$14</f>
        <v>25.952000000000002</v>
      </c>
      <c r="AF62" s="340">
        <f t="shared" ref="AF62:AG69" si="22">AB62-AD62</f>
        <v>0.31962983070219314</v>
      </c>
      <c r="AG62" s="339">
        <f t="shared" si="22"/>
        <v>22.37249000000001</v>
      </c>
      <c r="AH62" s="342">
        <f t="shared" ref="AH62:AI69" si="23">AB62-R62</f>
        <v>-6.640774341024358E-2</v>
      </c>
      <c r="AI62" s="343">
        <f t="shared" si="23"/>
        <v>-4.6482099999999988</v>
      </c>
      <c r="AK62" s="335" t="s">
        <v>285</v>
      </c>
      <c r="AL62" s="338">
        <f>'Réserves 2023'!AT$14</f>
        <v>0.57755982570183584</v>
      </c>
      <c r="AM62" s="339">
        <f>'Réserves 2023'!AS$14</f>
        <v>40.426300000000005</v>
      </c>
      <c r="AN62" s="340">
        <f>'Réserves 2022'!AS$14</f>
        <v>0.24536038288449172</v>
      </c>
      <c r="AO62" s="341">
        <f>'Réserves 2022'!AR$14</f>
        <v>17.173999999999999</v>
      </c>
      <c r="AP62" s="340">
        <f t="shared" ref="AP62:AQ69" si="24">AL62-AN62</f>
        <v>0.33219944281734415</v>
      </c>
      <c r="AQ62" s="339">
        <f t="shared" si="24"/>
        <v>23.252300000000005</v>
      </c>
      <c r="AR62" s="342">
        <f t="shared" ref="AR62:AS69" si="25">AL62-AB62</f>
        <v>-0.11283934566754783</v>
      </c>
      <c r="AS62" s="343">
        <f t="shared" si="25"/>
        <v>-7.8981900000000067</v>
      </c>
    </row>
    <row r="63" spans="1:45">
      <c r="A63" s="344" t="s">
        <v>286</v>
      </c>
      <c r="B63" s="345">
        <f>'Réserves 2023'!AP$16</f>
        <v>0.68301886792452837</v>
      </c>
      <c r="C63" s="346">
        <f>'Réserves 2022'!AO$16</f>
        <v>0.64056603773584908</v>
      </c>
      <c r="D63" s="345">
        <f t="shared" si="19"/>
        <v>0.92264150943396228</v>
      </c>
      <c r="J63" s="378" t="s">
        <v>286</v>
      </c>
      <c r="K63" s="379">
        <f>'Réserves 2023'!AR$16</f>
        <v>0.59811320754716979</v>
      </c>
      <c r="L63" s="379">
        <f>'Réserves 2023'!AT$16</f>
        <v>0.48584905660377364</v>
      </c>
      <c r="Q63" s="344" t="s">
        <v>286</v>
      </c>
      <c r="R63" s="347">
        <f>'Réserves 2023'!AP$16</f>
        <v>0.68301886792452837</v>
      </c>
      <c r="S63" s="348">
        <f>'Réserves 2023'!AO$16</f>
        <v>14.48</v>
      </c>
      <c r="T63" s="349">
        <f>'Réserves 2022'!AO$16</f>
        <v>0.64056603773584908</v>
      </c>
      <c r="U63" s="350">
        <f>'Réserves 2022'!AN$16</f>
        <v>13.58</v>
      </c>
      <c r="V63" s="351">
        <f t="shared" si="20"/>
        <v>4.2452830188679291E-2</v>
      </c>
      <c r="W63" s="352">
        <f t="shared" si="20"/>
        <v>0.90000000000000036</v>
      </c>
      <c r="X63" s="353">
        <f t="shared" si="21"/>
        <v>-0.23962264150943391</v>
      </c>
      <c r="Y63" s="354">
        <f t="shared" si="21"/>
        <v>-5.0799999999999983</v>
      </c>
      <c r="AA63" s="344" t="s">
        <v>286</v>
      </c>
      <c r="AB63" s="347">
        <f>'Réserves 2023'!AR$16</f>
        <v>0.59811320754716979</v>
      </c>
      <c r="AC63" s="348">
        <f>'Réserves 2023'!AQ$16</f>
        <v>12.68</v>
      </c>
      <c r="AD63" s="349">
        <f>'Réserves 2022'!AQ$16</f>
        <v>0.52783018867924525</v>
      </c>
      <c r="AE63" s="350">
        <f>'Réserves 2022'!AP$16</f>
        <v>11.19</v>
      </c>
      <c r="AF63" s="351">
        <f t="shared" si="22"/>
        <v>7.028301886792454E-2</v>
      </c>
      <c r="AG63" s="352">
        <f t="shared" si="22"/>
        <v>1.4900000000000002</v>
      </c>
      <c r="AH63" s="353">
        <f t="shared" si="23"/>
        <v>-8.4905660377358583E-2</v>
      </c>
      <c r="AI63" s="354">
        <f t="shared" si="23"/>
        <v>-1.8000000000000007</v>
      </c>
      <c r="AK63" s="344" t="s">
        <v>286</v>
      </c>
      <c r="AL63" s="347">
        <f>'Réserves 2023'!AT$16</f>
        <v>0.48584905660377364</v>
      </c>
      <c r="AM63" s="348">
        <f>'Réserves 2023'!AS$16</f>
        <v>10.3</v>
      </c>
      <c r="AN63" s="349">
        <f>'Réserves 2022'!AS$16</f>
        <v>0</v>
      </c>
      <c r="AO63" s="350">
        <f>'Réserves 2022'!AR$16</f>
        <v>0</v>
      </c>
      <c r="AP63" s="351">
        <f t="shared" si="24"/>
        <v>0.48584905660377364</v>
      </c>
      <c r="AQ63" s="352">
        <f t="shared" si="24"/>
        <v>10.3</v>
      </c>
      <c r="AR63" s="353">
        <f t="shared" si="25"/>
        <v>-0.11226415094339615</v>
      </c>
      <c r="AS63" s="354">
        <f t="shared" si="25"/>
        <v>-2.379999999999999</v>
      </c>
    </row>
    <row r="64" spans="1:45">
      <c r="A64" s="335" t="s">
        <v>287</v>
      </c>
      <c r="B64" s="336">
        <f>'Réserves 2023'!AP$18</f>
        <v>0.80999010600706722</v>
      </c>
      <c r="C64" s="337">
        <f>'Réserves 2022'!AO$18</f>
        <v>0.89086320040383649</v>
      </c>
      <c r="D64" s="336">
        <f t="shared" si="19"/>
        <v>0.99970843008581534</v>
      </c>
      <c r="J64" s="335" t="s">
        <v>287</v>
      </c>
      <c r="K64" s="336">
        <f>'Réserves 2023'!AR$18</f>
        <v>0.71767551741544677</v>
      </c>
      <c r="L64" s="336">
        <f>'Réserves 2023'!AT$18</f>
        <v>0.56720282685512369</v>
      </c>
      <c r="Q64" s="335" t="s">
        <v>287</v>
      </c>
      <c r="R64" s="338">
        <f>'Réserves 2023'!AP18</f>
        <v>0.80999010600706722</v>
      </c>
      <c r="S64" s="339">
        <f>'Réserves 2023'!AO$18</f>
        <v>4.011476</v>
      </c>
      <c r="T64" s="340">
        <f>'Réserves 2022'!AO$18</f>
        <v>0.89086320040383649</v>
      </c>
      <c r="U64" s="341">
        <f>'Réserves 2022'!AN$18</f>
        <v>4.4119999999999999</v>
      </c>
      <c r="V64" s="340">
        <f t="shared" si="20"/>
        <v>-8.0873094396769263E-2</v>
      </c>
      <c r="W64" s="339">
        <f t="shared" si="20"/>
        <v>-0.40052399999999988</v>
      </c>
      <c r="X64" s="342">
        <f t="shared" si="21"/>
        <v>-0.18971832407874811</v>
      </c>
      <c r="Y64" s="343">
        <f t="shared" si="21"/>
        <v>-0.9395800000000003</v>
      </c>
      <c r="AA64" s="335" t="s">
        <v>287</v>
      </c>
      <c r="AB64" s="338">
        <f>'Réserves 2023'!AR18</f>
        <v>0.71767551741544677</v>
      </c>
      <c r="AC64" s="339">
        <f>'Réserves 2023'!AQ$18</f>
        <v>3.5542880000000001</v>
      </c>
      <c r="AD64" s="340">
        <f>'Réserves 2022'!AQ$18</f>
        <v>0.71014639071176178</v>
      </c>
      <c r="AE64" s="341">
        <f>'Réserves 2022'!AP$18</f>
        <v>3.5169999999999999</v>
      </c>
      <c r="AF64" s="340">
        <f t="shared" si="22"/>
        <v>7.5291267036849963E-3</v>
      </c>
      <c r="AG64" s="339">
        <f t="shared" si="22"/>
        <v>3.728800000000021E-2</v>
      </c>
      <c r="AH64" s="342">
        <f t="shared" si="23"/>
        <v>-9.231458859162045E-2</v>
      </c>
      <c r="AI64" s="343">
        <f t="shared" si="23"/>
        <v>-0.45718799999999993</v>
      </c>
      <c r="AK64" s="335" t="s">
        <v>287</v>
      </c>
      <c r="AL64" s="338">
        <f>'Réserves 2023'!AT18</f>
        <v>0.56720282685512369</v>
      </c>
      <c r="AM64" s="339">
        <f>'Réserves 2023'!AS$18</f>
        <v>2.809072</v>
      </c>
      <c r="AN64" s="340">
        <f>'Réserves 2022'!AS$18</f>
        <v>0.59323573952549224</v>
      </c>
      <c r="AO64" s="341">
        <f>'Réserves 2022'!AR$18</f>
        <v>2.9380000000000002</v>
      </c>
      <c r="AP64" s="340">
        <f t="shared" si="24"/>
        <v>-2.6032912670368558E-2</v>
      </c>
      <c r="AQ64" s="339">
        <f t="shared" si="24"/>
        <v>-0.12892800000000015</v>
      </c>
      <c r="AR64" s="342">
        <f t="shared" si="25"/>
        <v>-0.15047269056032309</v>
      </c>
      <c r="AS64" s="343">
        <f t="shared" si="25"/>
        <v>-0.7452160000000001</v>
      </c>
    </row>
    <row r="65" spans="1:45">
      <c r="A65" s="344" t="s">
        <v>288</v>
      </c>
      <c r="B65" s="345">
        <f>'Réserves 2023'!AP$31</f>
        <v>0.56790235285440338</v>
      </c>
      <c r="C65" s="346">
        <f>'Réserves 2022'!AO$31</f>
        <v>0.61177902345478685</v>
      </c>
      <c r="D65" s="345">
        <f t="shared" si="19"/>
        <v>0.63022937245787347</v>
      </c>
      <c r="J65" s="378" t="s">
        <v>288</v>
      </c>
      <c r="K65" s="379">
        <f>'Réserves 2023'!AR$31</f>
        <v>0.53895099572208283</v>
      </c>
      <c r="L65" s="379">
        <f>'Réserves 2023'!AT$31</f>
        <v>0.47895610110400932</v>
      </c>
      <c r="Q65" s="344" t="s">
        <v>288</v>
      </c>
      <c r="R65" s="347">
        <f>'Réserves 2023'!AP$31</f>
        <v>0.56790235285440338</v>
      </c>
      <c r="S65" s="348">
        <f>'Réserves 2023'!AO$31</f>
        <v>76.996200999999999</v>
      </c>
      <c r="T65" s="349">
        <f>'Réserves 2022'!AO$31</f>
        <v>0.61177902345478685</v>
      </c>
      <c r="U65" s="350">
        <f>'Réserves 2022'!AN$31</f>
        <v>82.944999999999993</v>
      </c>
      <c r="V65" s="351">
        <f t="shared" si="20"/>
        <v>-4.3876670600383472E-2</v>
      </c>
      <c r="W65" s="352">
        <f t="shared" si="20"/>
        <v>-5.948798999999994</v>
      </c>
      <c r="X65" s="353">
        <f t="shared" si="21"/>
        <v>-6.2327019603470091E-2</v>
      </c>
      <c r="Y65" s="354">
        <f t="shared" si="21"/>
        <v>-9.7737790000000047</v>
      </c>
      <c r="AA65" s="344" t="s">
        <v>288</v>
      </c>
      <c r="AB65" s="347">
        <f>'Réserves 2023'!AR$31</f>
        <v>0.53895099572208283</v>
      </c>
      <c r="AC65" s="348">
        <f>'Réserves 2023'!AQ$31</f>
        <v>73.070975999999987</v>
      </c>
      <c r="AD65" s="349">
        <f>'Réserves 2022'!AQ$31</f>
        <v>0.53560259625313478</v>
      </c>
      <c r="AE65" s="350">
        <f>'Réserves 2022'!AP$31</f>
        <v>72.617000000000004</v>
      </c>
      <c r="AF65" s="351">
        <f t="shared" si="22"/>
        <v>3.348399468948049E-3</v>
      </c>
      <c r="AG65" s="352">
        <f t="shared" si="22"/>
        <v>0.45397599999998306</v>
      </c>
      <c r="AH65" s="353">
        <f t="shared" si="23"/>
        <v>-2.8951357132320554E-2</v>
      </c>
      <c r="AI65" s="354">
        <f t="shared" si="23"/>
        <v>-3.9252250000000117</v>
      </c>
      <c r="AK65" s="344" t="s">
        <v>288</v>
      </c>
      <c r="AL65" s="347">
        <f>'Réserves 2023'!AT$31</f>
        <v>0.47895610110400932</v>
      </c>
      <c r="AM65" s="348">
        <f>'Réserves 2023'!AS$31</f>
        <v>65.942675999999992</v>
      </c>
      <c r="AN65" s="349">
        <f>'Réserves 2022'!AS$31</f>
        <v>0.44295467751307382</v>
      </c>
      <c r="AO65" s="350">
        <f>'Réserves 2022'!AR$31</f>
        <v>60.985999999999997</v>
      </c>
      <c r="AP65" s="351">
        <f t="shared" si="24"/>
        <v>3.60014235909355E-2</v>
      </c>
      <c r="AQ65" s="352">
        <f t="shared" si="24"/>
        <v>4.9566759999999945</v>
      </c>
      <c r="AR65" s="353">
        <f t="shared" si="25"/>
        <v>-5.9994894618073502E-2</v>
      </c>
      <c r="AS65" s="354">
        <f t="shared" si="25"/>
        <v>-7.1282999999999959</v>
      </c>
    </row>
    <row r="66" spans="1:45">
      <c r="A66" s="335" t="s">
        <v>289</v>
      </c>
      <c r="B66" s="336">
        <f>'Réserves 2023'!AP$45</f>
        <v>0.95243902439024397</v>
      </c>
      <c r="C66" s="337">
        <f>'Réserves 2022'!AO$45</f>
        <v>0.80609756097560992</v>
      </c>
      <c r="D66" s="336">
        <f t="shared" si="19"/>
        <v>1</v>
      </c>
      <c r="J66" s="335" t="s">
        <v>289</v>
      </c>
      <c r="K66" s="336">
        <f>'Réserves 2023'!AR$45</f>
        <v>0.91707317073170735</v>
      </c>
      <c r="L66" s="336">
        <f>'Réserves 2023'!AT$45</f>
        <v>0.85365853658536595</v>
      </c>
      <c r="Q66" s="335" t="s">
        <v>289</v>
      </c>
      <c r="R66" s="338">
        <f>'Réserves 2023'!AP$45</f>
        <v>0.95243902439024397</v>
      </c>
      <c r="S66" s="339">
        <f>'Réserves 2023'!AO$45</f>
        <v>7.81</v>
      </c>
      <c r="T66" s="340">
        <f>'Réserves 2022'!AO$45</f>
        <v>0.80609756097560992</v>
      </c>
      <c r="U66" s="355">
        <f>'Réserves 2022'!AN$45</f>
        <v>6.61</v>
      </c>
      <c r="V66" s="340">
        <f t="shared" si="20"/>
        <v>0.14634146341463405</v>
      </c>
      <c r="W66" s="339">
        <f t="shared" si="20"/>
        <v>1.1999999999999993</v>
      </c>
      <c r="X66" s="342">
        <f t="shared" si="21"/>
        <v>-4.7560975609756029E-2</v>
      </c>
      <c r="Y66" s="343">
        <f t="shared" si="21"/>
        <v>-0.38999999999999968</v>
      </c>
      <c r="AA66" s="335" t="s">
        <v>289</v>
      </c>
      <c r="AB66" s="338">
        <f>'Réserves 2023'!AR$45</f>
        <v>0.91707317073170735</v>
      </c>
      <c r="AC66" s="339">
        <f>'Réserves 2023'!AQ$45</f>
        <v>7.52</v>
      </c>
      <c r="AD66" s="340">
        <f>'Réserves 2022'!AQ$45</f>
        <v>0.70243902439024397</v>
      </c>
      <c r="AE66" s="355">
        <f>'Réserves 2022'!AP$45</f>
        <v>5.76</v>
      </c>
      <c r="AF66" s="340">
        <f t="shared" si="22"/>
        <v>0.21463414634146338</v>
      </c>
      <c r="AG66" s="339">
        <f t="shared" si="22"/>
        <v>1.7599999999999998</v>
      </c>
      <c r="AH66" s="342">
        <f t="shared" si="23"/>
        <v>-3.5365853658536617E-2</v>
      </c>
      <c r="AI66" s="343">
        <f t="shared" si="23"/>
        <v>-0.29000000000000004</v>
      </c>
      <c r="AK66" s="335" t="s">
        <v>289</v>
      </c>
      <c r="AL66" s="338">
        <f>'Réserves 2023'!AT$45</f>
        <v>0.85365853658536595</v>
      </c>
      <c r="AM66" s="339">
        <f>'Réserves 2023'!AS$45</f>
        <v>7</v>
      </c>
      <c r="AN66" s="340">
        <f>'Réserves 2022'!AS$45</f>
        <v>0.71097560975609764</v>
      </c>
      <c r="AO66" s="355">
        <f>'Réserves 2022'!AR$45</f>
        <v>5.83</v>
      </c>
      <c r="AP66" s="340">
        <f t="shared" si="24"/>
        <v>0.14268292682926831</v>
      </c>
      <c r="AQ66" s="339">
        <f t="shared" si="24"/>
        <v>1.17</v>
      </c>
      <c r="AR66" s="342">
        <f t="shared" si="25"/>
        <v>-6.3414634146341409E-2</v>
      </c>
      <c r="AS66" s="343">
        <f t="shared" si="25"/>
        <v>-0.51999999999999957</v>
      </c>
    </row>
    <row r="67" spans="1:45">
      <c r="A67" s="344" t="s">
        <v>290</v>
      </c>
      <c r="B67" s="345">
        <f>'Réserves 2023'!AP$43</f>
        <v>0.83256028215648159</v>
      </c>
      <c r="C67" s="346">
        <f>'Réserves 2022'!AO$43</f>
        <v>0.51292017562801417</v>
      </c>
      <c r="D67" s="345">
        <f t="shared" si="19"/>
        <v>0.9713582379615634</v>
      </c>
      <c r="J67" s="378" t="s">
        <v>290</v>
      </c>
      <c r="K67" s="379">
        <f>'Réserves 2023'!AR$43</f>
        <v>0.7442441517310876</v>
      </c>
      <c r="L67" s="379">
        <f>'Réserves 2023'!AT$43</f>
        <v>0.63292190311667751</v>
      </c>
      <c r="Q67" s="344" t="s">
        <v>290</v>
      </c>
      <c r="R67" s="347">
        <f>'Réserves 2023'!AP$43</f>
        <v>0.83256028215648159</v>
      </c>
      <c r="S67" s="348">
        <f>'Réserves 2023'!AO$43</f>
        <v>57.833799999999997</v>
      </c>
      <c r="T67" s="349">
        <f>'Réserves 2022'!AO$43</f>
        <v>0.51292017562801417</v>
      </c>
      <c r="U67" s="350">
        <f>'Réserves 2022'!AN$43</f>
        <v>35.630000000000003</v>
      </c>
      <c r="V67" s="351">
        <f t="shared" si="20"/>
        <v>0.31964010652846742</v>
      </c>
      <c r="W67" s="352">
        <f t="shared" si="20"/>
        <v>22.203799999999994</v>
      </c>
      <c r="X67" s="353">
        <f t="shared" si="21"/>
        <v>-0.13879795580508181</v>
      </c>
      <c r="Y67" s="354">
        <f t="shared" si="21"/>
        <v>-9.6416000000000111</v>
      </c>
      <c r="AA67" s="344" t="s">
        <v>290</v>
      </c>
      <c r="AB67" s="347">
        <f>'Réserves 2023'!AR$43</f>
        <v>0.7442441517310876</v>
      </c>
      <c r="AC67" s="348">
        <f>'Réserves 2023'!AQ$43</f>
        <v>51.698920000000001</v>
      </c>
      <c r="AD67" s="349">
        <f>'Réserves 2022'!AQ$43</f>
        <v>0.43560066220398758</v>
      </c>
      <c r="AE67" s="350">
        <f>'Réserves 2022'!AP$43</f>
        <v>30.259</v>
      </c>
      <c r="AF67" s="351">
        <f t="shared" si="22"/>
        <v>0.30864348952710002</v>
      </c>
      <c r="AG67" s="352">
        <f t="shared" si="22"/>
        <v>21.439920000000001</v>
      </c>
      <c r="AH67" s="353">
        <f t="shared" si="23"/>
        <v>-8.831613042539399E-2</v>
      </c>
      <c r="AI67" s="354">
        <f t="shared" si="23"/>
        <v>-6.1348799999999954</v>
      </c>
      <c r="AK67" s="344" t="s">
        <v>290</v>
      </c>
      <c r="AL67" s="347">
        <f>'Réserves 2023'!AT$43</f>
        <v>0.63292190311667751</v>
      </c>
      <c r="AM67" s="348">
        <f>'Réserves 2023'!AS$43</f>
        <v>43.965920000000004</v>
      </c>
      <c r="AN67" s="349">
        <f>'Réserves 2022'!AS$43</f>
        <v>0.33889008853379399</v>
      </c>
      <c r="AO67" s="350">
        <f>'Réserves 2022'!AR$43</f>
        <v>23.541</v>
      </c>
      <c r="AP67" s="351">
        <f t="shared" si="24"/>
        <v>0.29403181458288352</v>
      </c>
      <c r="AQ67" s="352">
        <f t="shared" si="24"/>
        <v>20.424920000000004</v>
      </c>
      <c r="AR67" s="353">
        <f t="shared" si="25"/>
        <v>-0.11132224861441009</v>
      </c>
      <c r="AS67" s="354">
        <f t="shared" si="25"/>
        <v>-7.732999999999997</v>
      </c>
    </row>
    <row r="68" spans="1:45">
      <c r="A68" s="335" t="s">
        <v>291</v>
      </c>
      <c r="B68" s="336">
        <f>'Réserves 2023'!AP$58</f>
        <v>0.76010683744246565</v>
      </c>
      <c r="C68" s="337">
        <f>'Réserves 2022'!AO$58</f>
        <v>0.62969088554687991</v>
      </c>
      <c r="D68" s="336">
        <f t="shared" si="19"/>
        <v>0.83299610241419531</v>
      </c>
      <c r="J68" s="335" t="s">
        <v>291</v>
      </c>
      <c r="K68" s="336">
        <f>'Réserves 2023'!AR$58</f>
        <v>0.74809650960577267</v>
      </c>
      <c r="L68" s="336">
        <f>'Réserves 2023'!AT$58</f>
        <v>0.65302197520417427</v>
      </c>
      <c r="Q68" s="335" t="s">
        <v>291</v>
      </c>
      <c r="R68" s="338">
        <f>'Réserves 2023'!AP$58</f>
        <v>0.76010683744246565</v>
      </c>
      <c r="S68" s="339">
        <f>'Réserves 2023'!AO$58</f>
        <v>59.286053000000003</v>
      </c>
      <c r="T68" s="340">
        <f>'Réserves 2022'!AO$58</f>
        <v>0.62969088554687991</v>
      </c>
      <c r="U68" s="341">
        <f>'Réserves 2022'!AN$58</f>
        <v>49.113999999999997</v>
      </c>
      <c r="V68" s="340">
        <f t="shared" si="20"/>
        <v>0.13041595189558575</v>
      </c>
      <c r="W68" s="339">
        <f t="shared" si="20"/>
        <v>10.172053000000005</v>
      </c>
      <c r="X68" s="342">
        <f t="shared" si="21"/>
        <v>-7.288926497172965E-2</v>
      </c>
      <c r="Y68" s="343">
        <f t="shared" si="21"/>
        <v>-5.6851440000000011</v>
      </c>
      <c r="AA68" s="335" t="s">
        <v>291</v>
      </c>
      <c r="AB68" s="338">
        <f>'Réserves 2023'!AR$58</f>
        <v>0.74809650960577267</v>
      </c>
      <c r="AC68" s="339">
        <f>'Réserves 2023'!AQ$58</f>
        <v>54.632739999999984</v>
      </c>
      <c r="AD68" s="340">
        <f>'Réserves 2022'!AQ$58</f>
        <v>0.59355872324692927</v>
      </c>
      <c r="AE68" s="341">
        <f>'Réserves 2022'!AP$58</f>
        <v>43.347000000000001</v>
      </c>
      <c r="AF68" s="340">
        <f t="shared" si="22"/>
        <v>0.15453778635884341</v>
      </c>
      <c r="AG68" s="339">
        <f t="shared" si="22"/>
        <v>11.285739999999983</v>
      </c>
      <c r="AH68" s="342">
        <f t="shared" si="23"/>
        <v>-1.201032783669298E-2</v>
      </c>
      <c r="AI68" s="343">
        <f t="shared" si="23"/>
        <v>-4.6533130000000185</v>
      </c>
      <c r="AK68" s="335" t="s">
        <v>291</v>
      </c>
      <c r="AL68" s="338">
        <f>'Réserves 2023'!AT$58</f>
        <v>0.65302197520417427</v>
      </c>
      <c r="AM68" s="339">
        <f>'Réserves 2023'!AS$58</f>
        <v>50.933754999999991</v>
      </c>
      <c r="AN68" s="340">
        <f>'Réserves 2022'!AS$58</f>
        <v>0.4963267817992999</v>
      </c>
      <c r="AO68" s="341">
        <f>'Réserves 2022'!AR$58</f>
        <v>38.712000000000003</v>
      </c>
      <c r="AP68" s="340">
        <f t="shared" si="24"/>
        <v>0.15669519340487437</v>
      </c>
      <c r="AQ68" s="339">
        <f t="shared" si="24"/>
        <v>12.221754999999987</v>
      </c>
      <c r="AR68" s="342">
        <f t="shared" si="25"/>
        <v>-9.507453440159841E-2</v>
      </c>
      <c r="AS68" s="343">
        <f t="shared" si="25"/>
        <v>-3.6989849999999933</v>
      </c>
    </row>
    <row r="69" spans="1:45">
      <c r="A69" s="356" t="s">
        <v>292</v>
      </c>
      <c r="B69" s="357">
        <f>'Réserves 2023'!AP$60</f>
        <v>0.70191938421960032</v>
      </c>
      <c r="C69" s="358">
        <f>'Réserves 2022'!AO$60</f>
        <v>0.57689360046933236</v>
      </c>
      <c r="D69" s="357">
        <f t="shared" si="19"/>
        <v>0.80059181569721405</v>
      </c>
      <c r="J69" s="141" t="s">
        <v>292</v>
      </c>
      <c r="K69" s="380">
        <f>'Réserves 2023'!AR$60</f>
        <v>0.65401132056334954</v>
      </c>
      <c r="L69" s="380">
        <f>'Réserves 2023'!AT$60</f>
        <v>0.60109702557363165</v>
      </c>
      <c r="Q69" s="356" t="s">
        <v>292</v>
      </c>
      <c r="R69" s="359">
        <f>'Réserves 2023'!AP$60</f>
        <v>0.70191938421960032</v>
      </c>
      <c r="S69" s="360">
        <f>'Réserves 2023'!AO$60</f>
        <v>273.39022999999997</v>
      </c>
      <c r="T69" s="361">
        <f>'Réserves 2022'!AO$60</f>
        <v>0.57689360046933236</v>
      </c>
      <c r="U69" s="362">
        <f>'Réserves 2022'!AN$60</f>
        <v>224.69399999999999</v>
      </c>
      <c r="V69" s="363">
        <f t="shared" si="20"/>
        <v>0.12502578375026796</v>
      </c>
      <c r="W69" s="364">
        <f t="shared" si="20"/>
        <v>48.696229999999986</v>
      </c>
      <c r="X69" s="365">
        <f t="shared" si="21"/>
        <v>-9.8672431477613731E-2</v>
      </c>
      <c r="Y69" s="366">
        <f t="shared" si="21"/>
        <v>-38.431876000000045</v>
      </c>
      <c r="AA69" s="356" t="s">
        <v>292</v>
      </c>
      <c r="AB69" s="359">
        <f>'Réserves 2023'!AR$60</f>
        <v>0.65401132056334954</v>
      </c>
      <c r="AC69" s="360">
        <f>'Réserves 2023'!AQ$60</f>
        <v>251.48141399999997</v>
      </c>
      <c r="AD69" s="361">
        <f>'Réserves 2022'!AQ$60</f>
        <v>0.50099149202320292</v>
      </c>
      <c r="AE69" s="362">
        <f>'Réserves 2022'!AP$60</f>
        <v>192.642</v>
      </c>
      <c r="AF69" s="363">
        <f t="shared" si="22"/>
        <v>0.15301982854014662</v>
      </c>
      <c r="AG69" s="364">
        <f t="shared" si="22"/>
        <v>58.839413999999977</v>
      </c>
      <c r="AH69" s="365">
        <f t="shared" si="23"/>
        <v>-4.7908063656250777E-2</v>
      </c>
      <c r="AI69" s="366">
        <f t="shared" si="23"/>
        <v>-21.908816000000002</v>
      </c>
      <c r="AK69" s="356" t="s">
        <v>292</v>
      </c>
      <c r="AL69" s="359">
        <f>'Réserves 2023'!AT$60</f>
        <v>0.60109702557363165</v>
      </c>
      <c r="AM69" s="360">
        <f>'Réserves 2023'!AS$60</f>
        <v>221.377723</v>
      </c>
      <c r="AN69" s="361">
        <f>'Réserves 2022'!AS$60</f>
        <v>0.40506449410042922</v>
      </c>
      <c r="AO69" s="362">
        <f>'Réserves 2022'!AR$60</f>
        <v>149.18100000000001</v>
      </c>
      <c r="AP69" s="363">
        <f t="shared" si="24"/>
        <v>0.19603253147320243</v>
      </c>
      <c r="AQ69" s="364">
        <f t="shared" si="24"/>
        <v>72.196722999999992</v>
      </c>
      <c r="AR69" s="365">
        <f t="shared" si="25"/>
        <v>-5.2914294989717892E-2</v>
      </c>
      <c r="AS69" s="366">
        <f t="shared" si="25"/>
        <v>-30.103690999999969</v>
      </c>
    </row>
    <row r="70" spans="1:45">
      <c r="F70" s="392"/>
      <c r="M70" s="392"/>
      <c r="P70" s="393"/>
      <c r="AE70" s="327"/>
      <c r="AO70" s="327"/>
    </row>
    <row r="71" spans="1:45">
      <c r="A71" s="356" t="s">
        <v>293</v>
      </c>
      <c r="B71" s="381">
        <f>'Réserves 2023'!AP$73</f>
        <v>0.89036299859099843</v>
      </c>
      <c r="C71" s="382">
        <f>'Réserves 2022'!AO$73</f>
        <v>0.61248789346246979</v>
      </c>
      <c r="D71" s="382">
        <f>B57</f>
        <v>0.99999999999999978</v>
      </c>
      <c r="F71" s="392"/>
      <c r="J71" s="383" t="s">
        <v>293</v>
      </c>
      <c r="K71" s="384">
        <f>'Réserves 2023'!AR$73</f>
        <v>0.79589068571135846</v>
      </c>
      <c r="L71" s="384">
        <f>'Réserves 2023'!AT$73</f>
        <v>0.58548387006322977</v>
      </c>
      <c r="M71" s="392"/>
      <c r="P71" s="393"/>
      <c r="Q71" s="356" t="s">
        <v>293</v>
      </c>
      <c r="R71" s="381">
        <f>'Réserves 2023'!AP$73</f>
        <v>0.89036299859099843</v>
      </c>
      <c r="S71" s="360">
        <f>'Réserves 2023'!AO$73</f>
        <v>120.69493700000001</v>
      </c>
      <c r="T71" s="361">
        <f>'Réserves 2022'!AO$73</f>
        <v>0.61248789346246979</v>
      </c>
      <c r="U71" s="362">
        <f>'Réserves 2022'!AN$73</f>
        <v>101.18300000000001</v>
      </c>
      <c r="V71" s="363">
        <f>R71-T71</f>
        <v>0.27787510512852864</v>
      </c>
      <c r="W71" s="364">
        <f>S71-U71</f>
        <v>19.511937000000003</v>
      </c>
      <c r="X71" s="365">
        <f>R71-R57</f>
        <v>-0.10963700140900134</v>
      </c>
      <c r="Y71" s="366">
        <f>S71-S57</f>
        <v>-8.9050629999999842</v>
      </c>
      <c r="AA71" s="356" t="s">
        <v>293</v>
      </c>
      <c r="AB71" s="381">
        <f>'Réserves 2023'!AR$73</f>
        <v>0.79589068571135846</v>
      </c>
      <c r="AC71" s="360">
        <f>'Réserves 2023'!AQ$73</f>
        <v>108.76721699999999</v>
      </c>
      <c r="AD71" s="361">
        <f>'Réserves 2022'!AQ$73</f>
        <v>0.50260895883777246</v>
      </c>
      <c r="AE71" s="362">
        <f>'Réserves 2022'!AP$73</f>
        <v>83.031000000000006</v>
      </c>
      <c r="AF71" s="363">
        <f>AB71-AD71</f>
        <v>0.293281726873586</v>
      </c>
      <c r="AG71" s="364">
        <f>AC71-AE71</f>
        <v>25.736216999999982</v>
      </c>
      <c r="AH71" s="365">
        <f>AB71-R71</f>
        <v>-9.4472312879639975E-2</v>
      </c>
      <c r="AI71" s="366">
        <f>AC71-S71</f>
        <v>-11.927720000000022</v>
      </c>
      <c r="AK71" s="356" t="s">
        <v>293</v>
      </c>
      <c r="AL71" s="381">
        <f>'Réserves 2023'!AT$73</f>
        <v>0.58548387006322977</v>
      </c>
      <c r="AM71" s="360">
        <f>'Réserves 2023'!AS$73</f>
        <v>83.521615999999995</v>
      </c>
      <c r="AN71" s="361">
        <f>'Réserves 2022'!AS$73</f>
        <v>0.38395278450363202</v>
      </c>
      <c r="AO71" s="362">
        <f>'Réserves 2022'!AR$73</f>
        <v>63.429000000000002</v>
      </c>
      <c r="AP71" s="363">
        <f>AL71-AN71</f>
        <v>0.20153108555959776</v>
      </c>
      <c r="AQ71" s="364">
        <f>AM71-AO71</f>
        <v>20.092615999999992</v>
      </c>
      <c r="AR71" s="365">
        <f>AL71-AB71</f>
        <v>-0.21040681564812869</v>
      </c>
      <c r="AS71" s="366">
        <f>AM71-AM57</f>
        <v>-43.425664000000012</v>
      </c>
    </row>
    <row r="72" spans="1:45">
      <c r="F72" s="327"/>
      <c r="M72" s="327"/>
    </row>
    <row r="73" spans="1:45">
      <c r="A73" s="73" t="s">
        <v>265</v>
      </c>
    </row>
    <row r="74" spans="1:45">
      <c r="R74" s="458" t="s">
        <v>349</v>
      </c>
      <c r="S74" s="458"/>
      <c r="T74" s="455" t="s">
        <v>350</v>
      </c>
      <c r="U74" s="455"/>
      <c r="V74" s="456" t="s">
        <v>335</v>
      </c>
      <c r="W74" s="456"/>
      <c r="X74" s="457" t="s">
        <v>336</v>
      </c>
      <c r="Y74" s="457"/>
      <c r="AB74" s="458" t="s">
        <v>351</v>
      </c>
      <c r="AC74" s="458"/>
      <c r="AD74" s="455" t="s">
        <v>352</v>
      </c>
      <c r="AE74" s="455"/>
      <c r="AF74" s="456" t="s">
        <v>353</v>
      </c>
      <c r="AG74" s="456"/>
      <c r="AH74" s="457" t="s">
        <v>354</v>
      </c>
      <c r="AI74" s="457"/>
      <c r="AL74" s="458" t="s">
        <v>355</v>
      </c>
      <c r="AM74" s="458"/>
      <c r="AN74" s="455" t="s">
        <v>356</v>
      </c>
      <c r="AO74" s="455"/>
      <c r="AP74" s="456" t="s">
        <v>357</v>
      </c>
      <c r="AQ74" s="456"/>
      <c r="AR74" s="463" t="s">
        <v>358</v>
      </c>
      <c r="AS74" s="463"/>
    </row>
    <row r="75" spans="1:45" ht="38.25">
      <c r="A75" s="328" t="s">
        <v>275</v>
      </c>
      <c r="B75" s="329" t="s">
        <v>359</v>
      </c>
      <c r="C75" s="328" t="s">
        <v>360</v>
      </c>
      <c r="D75" s="329" t="s">
        <v>361</v>
      </c>
      <c r="F75" s="325"/>
      <c r="J75" s="375" t="s">
        <v>314</v>
      </c>
      <c r="K75" s="376" t="s">
        <v>362</v>
      </c>
      <c r="L75" s="376" t="s">
        <v>363</v>
      </c>
      <c r="M75" s="325"/>
      <c r="Q75" s="328" t="s">
        <v>275</v>
      </c>
      <c r="R75" s="331" t="s">
        <v>281</v>
      </c>
      <c r="S75" s="331" t="s">
        <v>282</v>
      </c>
      <c r="T75" s="332" t="s">
        <v>281</v>
      </c>
      <c r="U75" s="332" t="s">
        <v>282</v>
      </c>
      <c r="V75" s="333" t="s">
        <v>283</v>
      </c>
      <c r="W75" s="333" t="s">
        <v>284</v>
      </c>
      <c r="X75" s="334" t="s">
        <v>283</v>
      </c>
      <c r="Y75" s="334" t="s">
        <v>284</v>
      </c>
      <c r="AA75" s="328" t="s">
        <v>275</v>
      </c>
      <c r="AB75" s="331" t="s">
        <v>281</v>
      </c>
      <c r="AC75" s="331" t="s">
        <v>282</v>
      </c>
      <c r="AD75" s="332" t="s">
        <v>281</v>
      </c>
      <c r="AE75" s="332" t="s">
        <v>282</v>
      </c>
      <c r="AF75" s="333" t="s">
        <v>283</v>
      </c>
      <c r="AG75" s="333" t="s">
        <v>284</v>
      </c>
      <c r="AH75" s="334" t="s">
        <v>283</v>
      </c>
      <c r="AI75" s="334" t="s">
        <v>284</v>
      </c>
      <c r="AK75" s="328" t="s">
        <v>275</v>
      </c>
      <c r="AL75" s="331" t="s">
        <v>281</v>
      </c>
      <c r="AM75" s="331" t="s">
        <v>282</v>
      </c>
      <c r="AN75" s="332" t="s">
        <v>281</v>
      </c>
      <c r="AO75" s="332" t="s">
        <v>282</v>
      </c>
      <c r="AP75" s="333" t="s">
        <v>283</v>
      </c>
      <c r="AQ75" s="333" t="s">
        <v>284</v>
      </c>
      <c r="AR75" s="334" t="s">
        <v>283</v>
      </c>
      <c r="AS75" s="334" t="s">
        <v>284</v>
      </c>
    </row>
    <row r="76" spans="1:45">
      <c r="A76" s="335" t="s">
        <v>285</v>
      </c>
      <c r="B76" s="336">
        <f>'Réserves 2023'!AV$14</f>
        <v>0.48699835702550187</v>
      </c>
      <c r="C76" s="337">
        <f>'Réserves 2022'!AU$14</f>
        <v>0.21815843988856345</v>
      </c>
      <c r="D76" s="336">
        <f t="shared" ref="D76:D83" si="26">B62</f>
        <v>0.75680691477962725</v>
      </c>
      <c r="E76" s="394"/>
      <c r="F76" s="395"/>
      <c r="J76" s="335" t="s">
        <v>285</v>
      </c>
      <c r="K76" s="336">
        <f>'Réserves 2023'!AX$14</f>
        <v>0.46664218872776619</v>
      </c>
      <c r="L76" s="336">
        <f>'Réserves 2023'!AZ$14</f>
        <v>0.45943110222158723</v>
      </c>
      <c r="M76" s="395"/>
      <c r="Q76" s="335" t="s">
        <v>285</v>
      </c>
      <c r="R76" s="338">
        <f>'Réserves 2023'!AV$14</f>
        <v>0.48699835702550187</v>
      </c>
      <c r="S76" s="339">
        <f>'Réserves 2023'!AU$14</f>
        <v>34.087450000000004</v>
      </c>
      <c r="T76" s="340">
        <f>'Réserves 2022'!AU$14</f>
        <v>0.21815843988856345</v>
      </c>
      <c r="U76" s="341">
        <f>'Réserves 2022'!AT$14</f>
        <v>15.27</v>
      </c>
      <c r="V76" s="340">
        <f t="shared" ref="V76:W83" si="27">R76-T76</f>
        <v>0.26883991713693844</v>
      </c>
      <c r="W76" s="339">
        <f t="shared" si="27"/>
        <v>18.817450000000004</v>
      </c>
      <c r="X76" s="342">
        <f t="shared" ref="X76:Y83" si="28">R76-R62</f>
        <v>-0.26980855775412538</v>
      </c>
      <c r="Y76" s="343">
        <f t="shared" si="28"/>
        <v>-18.885250000000006</v>
      </c>
      <c r="AA76" s="335" t="s">
        <v>285</v>
      </c>
      <c r="AB76" s="338">
        <f>'Réserves 2023'!AX$14</f>
        <v>0.46664218872776619</v>
      </c>
      <c r="AC76" s="339">
        <f>'Réserves 2023'!AW$14</f>
        <v>32.662619999999997</v>
      </c>
      <c r="AD76" s="340">
        <f>'Réserves 2022'!AW$14</f>
        <v>0.19631402243017357</v>
      </c>
      <c r="AE76" s="341">
        <f>'Réserves 2022'!AV$14</f>
        <v>13.741</v>
      </c>
      <c r="AF76" s="340">
        <f t="shared" ref="AF76:AG83" si="29">AB76-AD76</f>
        <v>0.2703281662975926</v>
      </c>
      <c r="AG76" s="339">
        <f t="shared" si="29"/>
        <v>18.921619999999997</v>
      </c>
      <c r="AH76" s="342">
        <f t="shared" ref="AH76:AI83" si="30">AB76-R76</f>
        <v>-2.0356168297735677E-2</v>
      </c>
      <c r="AI76" s="343">
        <f t="shared" si="30"/>
        <v>-1.4248300000000071</v>
      </c>
      <c r="AK76" s="335" t="s">
        <v>285</v>
      </c>
      <c r="AL76" s="338">
        <f>'Réserves 2023'!AZ14</f>
        <v>0.45943110222158723</v>
      </c>
      <c r="AM76" s="339">
        <f>'Réserves 2023'!AY$14</f>
        <v>32.157879999999999</v>
      </c>
      <c r="AN76" s="340">
        <f>'Réserves 2022'!AY$14</f>
        <v>0.1666976212586613</v>
      </c>
      <c r="AO76" s="341">
        <f>'Réserves 2022'!AX$14</f>
        <v>11.667999999999999</v>
      </c>
      <c r="AP76" s="340">
        <f t="shared" ref="AP76:AQ83" si="31">AL76-AN76</f>
        <v>0.29273348096292595</v>
      </c>
      <c r="AQ76" s="339">
        <f t="shared" si="31"/>
        <v>20.489879999999999</v>
      </c>
      <c r="AR76" s="342">
        <f t="shared" ref="AR76:AS83" si="32">AL76-AB76</f>
        <v>-7.2110865061789653E-3</v>
      </c>
      <c r="AS76" s="343">
        <f t="shared" si="32"/>
        <v>-0.50473999999999819</v>
      </c>
    </row>
    <row r="77" spans="1:45">
      <c r="A77" s="344" t="s">
        <v>286</v>
      </c>
      <c r="B77" s="345">
        <f>'Réserves 2023'!AV$16</f>
        <v>0.32877358490566039</v>
      </c>
      <c r="C77" s="346">
        <f>'Réserves 2022'!AU$16</f>
        <v>0.28066037735849059</v>
      </c>
      <c r="D77" s="345">
        <f t="shared" si="26"/>
        <v>0.68301886792452837</v>
      </c>
      <c r="E77" s="394"/>
      <c r="F77" s="395"/>
      <c r="J77" s="378" t="s">
        <v>286</v>
      </c>
      <c r="K77" s="379">
        <f>'Réserves 2023'!AX$16</f>
        <v>0.23679245283018865</v>
      </c>
      <c r="L77" s="379">
        <f>'Réserves 2023'!AZ$16</f>
        <v>0.16933962264150942</v>
      </c>
      <c r="M77" s="395"/>
      <c r="Q77" s="344" t="s">
        <v>286</v>
      </c>
      <c r="R77" s="347">
        <f>'Réserves 2023'!AV$16</f>
        <v>0.32877358490566039</v>
      </c>
      <c r="S77" s="348">
        <f>'Réserves 2023'!AU$16</f>
        <v>6.97</v>
      </c>
      <c r="T77" s="349">
        <f>'Réserves 2022'!AU$16</f>
        <v>0.28066037735849059</v>
      </c>
      <c r="U77" s="350">
        <f>'Réserves 2022'!AT$16</f>
        <v>5.95</v>
      </c>
      <c r="V77" s="351">
        <f t="shared" si="27"/>
        <v>4.8113207547169801E-2</v>
      </c>
      <c r="W77" s="352">
        <f t="shared" si="27"/>
        <v>1.0199999999999996</v>
      </c>
      <c r="X77" s="353">
        <f t="shared" si="28"/>
        <v>-0.35424528301886798</v>
      </c>
      <c r="Y77" s="354">
        <f t="shared" si="28"/>
        <v>-7.5100000000000007</v>
      </c>
      <c r="AA77" s="344" t="s">
        <v>286</v>
      </c>
      <c r="AB77" s="347">
        <f>'Réserves 2023'!AX$16</f>
        <v>0.23679245283018865</v>
      </c>
      <c r="AC77" s="348">
        <f>'Réserves 2023'!AW$16</f>
        <v>5.0199999999999996</v>
      </c>
      <c r="AD77" s="349">
        <f>'Réserves 2022'!AW$16</f>
        <v>0.22783018867924529</v>
      </c>
      <c r="AE77" s="350">
        <f>'Réserves 2022'!AV$16</f>
        <v>4.83</v>
      </c>
      <c r="AF77" s="351">
        <f t="shared" si="29"/>
        <v>8.9622641509433665E-3</v>
      </c>
      <c r="AG77" s="352">
        <f t="shared" si="29"/>
        <v>0.1899999999999995</v>
      </c>
      <c r="AH77" s="353">
        <f t="shared" si="30"/>
        <v>-9.1981132075471733E-2</v>
      </c>
      <c r="AI77" s="354">
        <f t="shared" si="30"/>
        <v>-1.9500000000000002</v>
      </c>
      <c r="AK77" s="344" t="s">
        <v>286</v>
      </c>
      <c r="AL77" s="347">
        <f>'Réserves 2023'!AZ$16</f>
        <v>0.16933962264150942</v>
      </c>
      <c r="AM77" s="348">
        <f>'Réserves 2023'!AY$16</f>
        <v>3.59</v>
      </c>
      <c r="AN77" s="349">
        <f>'Réserves 2022'!AY$16</f>
        <v>0.18349056603773586</v>
      </c>
      <c r="AO77" s="350">
        <f>'Réserves 2022'!AX$16</f>
        <v>3.89</v>
      </c>
      <c r="AP77" s="351">
        <f t="shared" si="31"/>
        <v>-1.415094339622644E-2</v>
      </c>
      <c r="AQ77" s="352">
        <f t="shared" si="31"/>
        <v>-0.30000000000000027</v>
      </c>
      <c r="AR77" s="353">
        <f t="shared" si="32"/>
        <v>-6.745283018867923E-2</v>
      </c>
      <c r="AS77" s="354">
        <f t="shared" si="32"/>
        <v>-1.4299999999999997</v>
      </c>
    </row>
    <row r="78" spans="1:45">
      <c r="A78" s="335" t="s">
        <v>287</v>
      </c>
      <c r="B78" s="336">
        <f>'Réserves 2023'!AV$18</f>
        <v>0.39857526501766788</v>
      </c>
      <c r="C78" s="337">
        <f>'Réserves 2022'!AU$18</f>
        <v>0.50075719333669866</v>
      </c>
      <c r="D78" s="336">
        <f t="shared" si="26"/>
        <v>0.80999010600706722</v>
      </c>
      <c r="E78" s="394"/>
      <c r="F78" s="395"/>
      <c r="J78" s="335" t="s">
        <v>287</v>
      </c>
      <c r="K78" s="336">
        <f>'Réserves 2023'!AX$18</f>
        <v>0.32925754669358914</v>
      </c>
      <c r="L78" s="336">
        <f>'Réserves 2023'!AZ$18</f>
        <v>0.29771468955073199</v>
      </c>
      <c r="M78" s="395"/>
      <c r="Q78" s="335" t="s">
        <v>287</v>
      </c>
      <c r="R78" s="338">
        <f>'Réserves 2023'!AV$18</f>
        <v>0.39857526501766788</v>
      </c>
      <c r="S78" s="339">
        <f>'Réserves 2023'!AU$18</f>
        <v>1.9739439999999999</v>
      </c>
      <c r="T78" s="340">
        <f>'Réserves 2022'!AU$18</f>
        <v>0.50075719333669866</v>
      </c>
      <c r="U78" s="341">
        <f>'Réserves 2022'!AT$18</f>
        <v>2.48</v>
      </c>
      <c r="V78" s="340">
        <f t="shared" si="27"/>
        <v>-0.10218192831903078</v>
      </c>
      <c r="W78" s="339">
        <f t="shared" si="27"/>
        <v>-0.50605600000000006</v>
      </c>
      <c r="X78" s="342">
        <f t="shared" si="28"/>
        <v>-0.41141484098939934</v>
      </c>
      <c r="Y78" s="343">
        <f t="shared" si="28"/>
        <v>-2.0375320000000001</v>
      </c>
      <c r="AA78" s="335" t="s">
        <v>287</v>
      </c>
      <c r="AB78" s="338">
        <f>'Réserves 2023'!AX18</f>
        <v>0.32925754669358914</v>
      </c>
      <c r="AC78" s="339">
        <f>'Réserves 2023'!AW$18</f>
        <v>1.6306480000000001</v>
      </c>
      <c r="AD78" s="340">
        <f>'Réserves 2022'!AW$18</f>
        <v>0.45371024734982335</v>
      </c>
      <c r="AE78" s="341">
        <f>'Réserves 2022'!AV$18</f>
        <v>2.2469999999999999</v>
      </c>
      <c r="AF78" s="340">
        <f t="shared" si="29"/>
        <v>-0.12445270065623421</v>
      </c>
      <c r="AG78" s="339">
        <f t="shared" si="29"/>
        <v>-0.61635199999999979</v>
      </c>
      <c r="AH78" s="342">
        <f t="shared" si="30"/>
        <v>-6.9317718324078736E-2</v>
      </c>
      <c r="AI78" s="343">
        <f t="shared" si="30"/>
        <v>-0.34329599999999982</v>
      </c>
      <c r="AK78" s="335" t="s">
        <v>287</v>
      </c>
      <c r="AL78" s="338">
        <f>'Réserves 2023'!AZ18</f>
        <v>0.29771468955073199</v>
      </c>
      <c r="AM78" s="339">
        <f>'Réserves 2023'!AY$18</f>
        <v>1.474432</v>
      </c>
      <c r="AN78" s="340">
        <f>'Réserves 2022'!AY$18</f>
        <v>0.40040383644623934</v>
      </c>
      <c r="AO78" s="341">
        <f>'Réserves 2022'!AX$18</f>
        <v>1.9830000000000001</v>
      </c>
      <c r="AP78" s="340">
        <f t="shared" si="31"/>
        <v>-0.10268914689550734</v>
      </c>
      <c r="AQ78" s="339">
        <f t="shared" si="31"/>
        <v>-0.50856800000000013</v>
      </c>
      <c r="AR78" s="342">
        <f t="shared" si="32"/>
        <v>-3.154285714285715E-2</v>
      </c>
      <c r="AS78" s="343">
        <f t="shared" si="32"/>
        <v>-0.15621600000000013</v>
      </c>
    </row>
    <row r="79" spans="1:45">
      <c r="A79" s="344" t="s">
        <v>288</v>
      </c>
      <c r="B79" s="345">
        <f>'Réserves 2023'!AV$31</f>
        <v>0.43608214700755382</v>
      </c>
      <c r="C79" s="346">
        <f>'Réserves 2022'!AU$31</f>
        <v>0.39744334689134231</v>
      </c>
      <c r="D79" s="345">
        <f t="shared" si="26"/>
        <v>0.56790235285440338</v>
      </c>
      <c r="E79" s="394"/>
      <c r="F79" s="395"/>
      <c r="J79" s="378" t="s">
        <v>288</v>
      </c>
      <c r="K79" s="379">
        <f>'Réserves 2023'!AX$31</f>
        <v>0.40876358221963977</v>
      </c>
      <c r="L79" s="379">
        <f>'Réserves 2023'!AZ$31</f>
        <v>0.38814095729227199</v>
      </c>
      <c r="M79" s="395"/>
      <c r="Q79" s="344" t="s">
        <v>288</v>
      </c>
      <c r="R79" s="347">
        <f>'Réserves 2023'!AV$31</f>
        <v>0.43608214700755382</v>
      </c>
      <c r="S79" s="348">
        <f>'Réserves 2023'!AU$31</f>
        <v>60.039790000000004</v>
      </c>
      <c r="T79" s="349">
        <f>'Réserves 2022'!AU$31</f>
        <v>0.39744334689134231</v>
      </c>
      <c r="U79" s="350">
        <f>'Réserves 2022'!AT$31</f>
        <v>54.72</v>
      </c>
      <c r="V79" s="351">
        <f t="shared" si="27"/>
        <v>3.8638800116211514E-2</v>
      </c>
      <c r="W79" s="352">
        <f t="shared" si="27"/>
        <v>5.3197900000000047</v>
      </c>
      <c r="X79" s="353">
        <f t="shared" si="28"/>
        <v>-0.13182020584684956</v>
      </c>
      <c r="Y79" s="354">
        <f t="shared" si="28"/>
        <v>-16.956410999999996</v>
      </c>
      <c r="AA79" s="344" t="s">
        <v>288</v>
      </c>
      <c r="AB79" s="347">
        <f>'Réserves 2023'!AX$31</f>
        <v>0.40876358221963977</v>
      </c>
      <c r="AC79" s="348">
        <f>'Réserves 2023'!AW$31</f>
        <v>56.278569999999995</v>
      </c>
      <c r="AD79" s="349">
        <f>'Réserves 2022'!AW$31</f>
        <v>0.36388001162115052</v>
      </c>
      <c r="AE79" s="350">
        <f>'Réserves 2022'!AV$31</f>
        <v>50.098999999999997</v>
      </c>
      <c r="AF79" s="351">
        <f t="shared" si="29"/>
        <v>4.4883570598489242E-2</v>
      </c>
      <c r="AG79" s="352">
        <f t="shared" si="29"/>
        <v>6.1795699999999982</v>
      </c>
      <c r="AH79" s="353">
        <f t="shared" si="30"/>
        <v>-2.7318564787914057E-2</v>
      </c>
      <c r="AI79" s="354">
        <f t="shared" si="30"/>
        <v>-3.7612200000000087</v>
      </c>
      <c r="AK79" s="344" t="s">
        <v>288</v>
      </c>
      <c r="AL79" s="347">
        <f>'Réserves 2023'!AZ$31</f>
        <v>0.38814095729227199</v>
      </c>
      <c r="AM79" s="348">
        <f>'Réserves 2023'!AY$31</f>
        <v>53.439247000000002</v>
      </c>
      <c r="AN79" s="349">
        <f>'Réserves 2022'!AY$31</f>
        <v>0.33761621150493903</v>
      </c>
      <c r="AO79" s="350">
        <f>'Réserves 2022'!AX$31</f>
        <v>46.482999999999997</v>
      </c>
      <c r="AP79" s="351">
        <f t="shared" si="31"/>
        <v>5.0524745787332959E-2</v>
      </c>
      <c r="AQ79" s="352">
        <f t="shared" si="31"/>
        <v>6.9562470000000047</v>
      </c>
      <c r="AR79" s="353">
        <f t="shared" si="32"/>
        <v>-2.0622624927367772E-2</v>
      </c>
      <c r="AS79" s="354">
        <f t="shared" si="32"/>
        <v>-2.8393229999999932</v>
      </c>
    </row>
    <row r="80" spans="1:45">
      <c r="A80" s="335" t="s">
        <v>289</v>
      </c>
      <c r="B80" s="336">
        <f>'Réserves 2023'!AV$45</f>
        <v>0.80853658536585371</v>
      </c>
      <c r="C80" s="337">
        <f>'Réserves 2022'!AU$45</f>
        <v>0.69024390243902445</v>
      </c>
      <c r="D80" s="336">
        <f t="shared" si="26"/>
        <v>0.95243902439024397</v>
      </c>
      <c r="E80" s="394"/>
      <c r="F80" s="395"/>
      <c r="J80" s="335" t="s">
        <v>289</v>
      </c>
      <c r="K80" s="336">
        <f>'Réserves 2023'!AX$45</f>
        <v>0.76341463414634148</v>
      </c>
      <c r="L80" s="336">
        <f>'Réserves 2023'!AZ$45</f>
        <v>0.75609756097560987</v>
      </c>
      <c r="M80" s="395"/>
      <c r="Q80" s="335" t="s">
        <v>289</v>
      </c>
      <c r="R80" s="338">
        <f>'Réserves 2023'!AV$45</f>
        <v>0.80853658536585371</v>
      </c>
      <c r="S80" s="339">
        <f>'Réserves 2023'!AU$45</f>
        <v>6.63</v>
      </c>
      <c r="T80" s="340">
        <f>'Réserves 2022'!AU$45</f>
        <v>0.69024390243902445</v>
      </c>
      <c r="U80" s="355">
        <f>'Réserves 2022'!AT$45</f>
        <v>5.66</v>
      </c>
      <c r="V80" s="340">
        <f t="shared" si="27"/>
        <v>0.11829268292682926</v>
      </c>
      <c r="W80" s="339">
        <f t="shared" si="27"/>
        <v>0.96999999999999975</v>
      </c>
      <c r="X80" s="342">
        <f t="shared" si="28"/>
        <v>-0.14390243902439026</v>
      </c>
      <c r="Y80" s="343">
        <f t="shared" si="28"/>
        <v>-1.1799999999999997</v>
      </c>
      <c r="AA80" s="335" t="s">
        <v>289</v>
      </c>
      <c r="AB80" s="338">
        <f>'Réserves 2023'!AX$45</f>
        <v>0.76341463414634148</v>
      </c>
      <c r="AC80" s="339">
        <f>'Réserves 2023'!AW$45</f>
        <v>6.26</v>
      </c>
      <c r="AD80" s="340">
        <f>'Réserves 2022'!AW$45</f>
        <v>0.67804878048780493</v>
      </c>
      <c r="AE80" s="355">
        <f>'Réserves 2022'!AV$45</f>
        <v>5.56</v>
      </c>
      <c r="AF80" s="340">
        <f t="shared" si="29"/>
        <v>8.536585365853655E-2</v>
      </c>
      <c r="AG80" s="339">
        <f t="shared" si="29"/>
        <v>0.70000000000000018</v>
      </c>
      <c r="AH80" s="342">
        <f t="shared" si="30"/>
        <v>-4.5121951219512235E-2</v>
      </c>
      <c r="AI80" s="343">
        <f t="shared" si="30"/>
        <v>-0.37000000000000011</v>
      </c>
      <c r="AK80" s="335" t="s">
        <v>289</v>
      </c>
      <c r="AL80" s="338">
        <f>'Réserves 2023'!AZ$45</f>
        <v>0.75609756097560987</v>
      </c>
      <c r="AM80" s="339">
        <f>'Réserves 2023'!AY$45</f>
        <v>6.2</v>
      </c>
      <c r="AN80" s="340">
        <f>'Réserves 2022'!AY$45</f>
        <v>0.66951219512195126</v>
      </c>
      <c r="AO80" s="355">
        <f>'Réserves 2022'!AX$45</f>
        <v>5.49</v>
      </c>
      <c r="AP80" s="340">
        <f t="shared" si="31"/>
        <v>8.6585365853658613E-2</v>
      </c>
      <c r="AQ80" s="339">
        <f t="shared" si="31"/>
        <v>0.71</v>
      </c>
      <c r="AR80" s="342">
        <f t="shared" si="32"/>
        <v>-7.3170731707316028E-3</v>
      </c>
      <c r="AS80" s="343">
        <f t="shared" si="32"/>
        <v>-5.9999999999999609E-2</v>
      </c>
    </row>
    <row r="81" spans="1:45">
      <c r="A81" s="344" t="s">
        <v>290</v>
      </c>
      <c r="B81" s="345">
        <f>'Réserves 2023'!AV$43</f>
        <v>0.56998128553948024</v>
      </c>
      <c r="C81" s="346">
        <f>'Réserves 2022'!AU$43</f>
        <v>0.31310732023321097</v>
      </c>
      <c r="D81" s="345">
        <f t="shared" si="26"/>
        <v>0.83256028215648159</v>
      </c>
      <c r="E81" s="394"/>
      <c r="F81" s="395"/>
      <c r="J81" s="378" t="s">
        <v>290</v>
      </c>
      <c r="K81" s="379">
        <f>'Réserves 2023'!AX$43</f>
        <v>0.54274569927301519</v>
      </c>
      <c r="L81" s="379">
        <f>'Réserves 2023'!AZ$43</f>
        <v>0.5268998776362197</v>
      </c>
      <c r="M81" s="395"/>
      <c r="Q81" s="344" t="s">
        <v>290</v>
      </c>
      <c r="R81" s="347">
        <f>'Réserves 2023'!AV$43</f>
        <v>0.56998128553948024</v>
      </c>
      <c r="S81" s="348">
        <f>'Réserves 2023'!AU$43</f>
        <v>39.59375</v>
      </c>
      <c r="T81" s="349">
        <f>'Réserves 2022'!AU$43</f>
        <v>0.31310732023321097</v>
      </c>
      <c r="U81" s="350">
        <f>'Réserves 2022'!AT$43</f>
        <v>21.75</v>
      </c>
      <c r="V81" s="351">
        <f t="shared" si="27"/>
        <v>0.25687396530626927</v>
      </c>
      <c r="W81" s="352">
        <f t="shared" si="27"/>
        <v>17.84375</v>
      </c>
      <c r="X81" s="353">
        <f t="shared" si="28"/>
        <v>-0.26257899661700135</v>
      </c>
      <c r="Y81" s="354">
        <f t="shared" si="28"/>
        <v>-18.240049999999997</v>
      </c>
      <c r="AA81" s="344" t="s">
        <v>290</v>
      </c>
      <c r="AB81" s="347">
        <f>'Réserves 2023'!AX$43</f>
        <v>0.54274569927301519</v>
      </c>
      <c r="AC81" s="348">
        <f>'Réserves 2023'!AW$43</f>
        <v>37.701830000000001</v>
      </c>
      <c r="AD81" s="349">
        <f>'Réserves 2022'!AW$43</f>
        <v>0.30108687828402791</v>
      </c>
      <c r="AE81" s="350">
        <f>'Réserves 2022'!AV$43</f>
        <v>20.914999999999999</v>
      </c>
      <c r="AF81" s="351">
        <f t="shared" si="29"/>
        <v>0.24165882098898728</v>
      </c>
      <c r="AG81" s="352">
        <f t="shared" si="29"/>
        <v>16.786830000000002</v>
      </c>
      <c r="AH81" s="353">
        <f t="shared" si="30"/>
        <v>-2.7235586266465051E-2</v>
      </c>
      <c r="AI81" s="354">
        <f t="shared" si="30"/>
        <v>-1.8919199999999989</v>
      </c>
      <c r="AK81" s="344" t="s">
        <v>290</v>
      </c>
      <c r="AL81" s="347">
        <f>'Réserves 2023'!AZ$43</f>
        <v>0.5268998776362197</v>
      </c>
      <c r="AM81" s="348">
        <f>'Réserves 2023'!AY$43</f>
        <v>36.601100000000002</v>
      </c>
      <c r="AN81" s="349">
        <f>'Réserves 2022'!AY$43</f>
        <v>0.26588929676815659</v>
      </c>
      <c r="AO81" s="350">
        <f>'Réserves 2022'!AX$43</f>
        <v>18.47</v>
      </c>
      <c r="AP81" s="351">
        <f t="shared" si="31"/>
        <v>0.26101058086806311</v>
      </c>
      <c r="AQ81" s="352">
        <f t="shared" si="31"/>
        <v>18.131100000000004</v>
      </c>
      <c r="AR81" s="353">
        <f t="shared" si="32"/>
        <v>-1.5845821636795487E-2</v>
      </c>
      <c r="AS81" s="354">
        <f t="shared" si="32"/>
        <v>-1.1007299999999987</v>
      </c>
    </row>
    <row r="82" spans="1:45">
      <c r="A82" s="335" t="s">
        <v>291</v>
      </c>
      <c r="B82" s="336">
        <f>'Réserves 2023'!AV$58</f>
        <v>0.58555899585881499</v>
      </c>
      <c r="C82" s="337">
        <f>'Réserves 2022'!AU$58</f>
        <v>0.45463287049501899</v>
      </c>
      <c r="D82" s="336">
        <f t="shared" si="26"/>
        <v>0.76010683744246565</v>
      </c>
      <c r="E82" s="394"/>
      <c r="F82" s="395"/>
      <c r="J82" s="335" t="s">
        <v>291</v>
      </c>
      <c r="K82" s="336">
        <f>'Réserves 2023'!AX$58</f>
        <v>0.55112410733746164</v>
      </c>
      <c r="L82" s="336">
        <f>'Réserves 2023'!AZ$58</f>
        <v>0.52884455812403008</v>
      </c>
      <c r="M82" s="395"/>
      <c r="Q82" s="335" t="s">
        <v>291</v>
      </c>
      <c r="R82" s="338">
        <f>'Réserves 2023'!AV$58</f>
        <v>0.58555899585881499</v>
      </c>
      <c r="S82" s="339">
        <f>'Réserves 2023'!AU$58</f>
        <v>45.671844999999998</v>
      </c>
      <c r="T82" s="340">
        <f>'Réserves 2022'!AU$58</f>
        <v>0.45463287049501899</v>
      </c>
      <c r="U82" s="341">
        <f>'Réserves 2022'!AT$58</f>
        <v>35.46</v>
      </c>
      <c r="V82" s="340">
        <f t="shared" si="27"/>
        <v>0.130926125363796</v>
      </c>
      <c r="W82" s="339">
        <f t="shared" si="27"/>
        <v>10.211844999999997</v>
      </c>
      <c r="X82" s="342">
        <f t="shared" si="28"/>
        <v>-0.17454784158365066</v>
      </c>
      <c r="Y82" s="343">
        <f t="shared" si="28"/>
        <v>-13.614208000000005</v>
      </c>
      <c r="AA82" s="335" t="s">
        <v>291</v>
      </c>
      <c r="AB82" s="338">
        <f>'Réserves 2023'!AX$58</f>
        <v>0.55112410733746164</v>
      </c>
      <c r="AC82" s="339">
        <f>'Réserves 2023'!AW$58</f>
        <v>42.986027000000007</v>
      </c>
      <c r="AD82" s="340">
        <f>'Réserves 2022'!AW$58</f>
        <v>0.43288844442734975</v>
      </c>
      <c r="AE82" s="341">
        <f>'Réserves 2022'!AV$58</f>
        <v>33.764000000000003</v>
      </c>
      <c r="AF82" s="340">
        <f t="shared" si="29"/>
        <v>0.11823566291011189</v>
      </c>
      <c r="AG82" s="339">
        <f t="shared" si="29"/>
        <v>9.2220270000000042</v>
      </c>
      <c r="AH82" s="342">
        <f t="shared" si="30"/>
        <v>-3.4434888521353346E-2</v>
      </c>
      <c r="AI82" s="343">
        <f t="shared" si="30"/>
        <v>-2.6858179999999905</v>
      </c>
      <c r="AK82" s="335" t="s">
        <v>291</v>
      </c>
      <c r="AL82" s="338">
        <f>'Réserves 2023'!AZ$58</f>
        <v>0.52884455812403008</v>
      </c>
      <c r="AM82" s="339">
        <f>'Réserves 2023'!AY$58</f>
        <v>41.248288999999986</v>
      </c>
      <c r="AN82" s="340">
        <f>'Réserves 2022'!AY$58</f>
        <v>0.41324666333320503</v>
      </c>
      <c r="AO82" s="341">
        <f>'Réserves 2022'!AX$58</f>
        <v>32.231999999999999</v>
      </c>
      <c r="AP82" s="340">
        <f t="shared" si="31"/>
        <v>0.11559789479082505</v>
      </c>
      <c r="AQ82" s="339">
        <f t="shared" si="31"/>
        <v>9.0162889999999862</v>
      </c>
      <c r="AR82" s="342">
        <f t="shared" si="32"/>
        <v>-2.227954921343156E-2</v>
      </c>
      <c r="AS82" s="343">
        <f t="shared" si="32"/>
        <v>-1.7377380000000215</v>
      </c>
    </row>
    <row r="83" spans="1:45">
      <c r="A83" s="356" t="s">
        <v>292</v>
      </c>
      <c r="B83" s="357">
        <f>'Réserves 2023'!AV$60</f>
        <v>0.50057005131075416</v>
      </c>
      <c r="C83" s="358">
        <f>'Réserves 2022'!AU$60</f>
        <v>0.36278256538366255</v>
      </c>
      <c r="D83" s="357">
        <f t="shared" si="26"/>
        <v>0.70191938421960032</v>
      </c>
      <c r="F83" s="395"/>
      <c r="J83" s="141" t="s">
        <v>292</v>
      </c>
      <c r="K83" s="380">
        <f>'Réserves 2023'!AX$60</f>
        <v>0.46866396911855146</v>
      </c>
      <c r="L83" s="380">
        <f>'Réserves 2023'!AZ$60</f>
        <v>0.44856394845047176</v>
      </c>
      <c r="M83" s="395"/>
      <c r="Q83" s="356" t="s">
        <v>292</v>
      </c>
      <c r="R83" s="359">
        <f>'Réserves 2023'!AV$60</f>
        <v>0.50057005131075416</v>
      </c>
      <c r="S83" s="360">
        <f>'Réserves 2023'!AU$60</f>
        <v>194.96677899999997</v>
      </c>
      <c r="T83" s="361">
        <f>'Réserves 2022'!AU$60</f>
        <v>0.36278256538366255</v>
      </c>
      <c r="U83" s="362">
        <f>'Réserves 2022'!AT$60</f>
        <v>141.30000000000001</v>
      </c>
      <c r="V83" s="363">
        <f t="shared" si="27"/>
        <v>0.13778748592709161</v>
      </c>
      <c r="W83" s="364">
        <f t="shared" si="27"/>
        <v>53.666778999999963</v>
      </c>
      <c r="X83" s="365">
        <f t="shared" si="28"/>
        <v>-0.20134933290884616</v>
      </c>
      <c r="Y83" s="366">
        <f t="shared" si="28"/>
        <v>-78.423451</v>
      </c>
      <c r="AA83" s="356" t="s">
        <v>292</v>
      </c>
      <c r="AB83" s="359">
        <f>'Réserves 2023'!AX$60</f>
        <v>0.46866396911855146</v>
      </c>
      <c r="AC83" s="360">
        <f>'Réserves 2023'!AW$60</f>
        <v>182.53969500000002</v>
      </c>
      <c r="AD83" s="361">
        <f>'Réserves 2022'!AW$60</f>
        <v>0.33673821758994793</v>
      </c>
      <c r="AE83" s="362">
        <f>'Réserves 2022'!AV$60</f>
        <v>131.15600000000001</v>
      </c>
      <c r="AF83" s="363">
        <f t="shared" si="29"/>
        <v>0.13192575152860353</v>
      </c>
      <c r="AG83" s="364">
        <f t="shared" si="29"/>
        <v>51.383695000000017</v>
      </c>
      <c r="AH83" s="365">
        <f t="shared" si="30"/>
        <v>-3.19060821922027E-2</v>
      </c>
      <c r="AI83" s="366">
        <f t="shared" si="30"/>
        <v>-12.427083999999951</v>
      </c>
      <c r="AK83" s="356" t="s">
        <v>292</v>
      </c>
      <c r="AL83" s="359">
        <f>'Réserves 2023'!AZ$60</f>
        <v>0.44856394845047176</v>
      </c>
      <c r="AM83" s="360">
        <f>'Réserves 2023'!AY$60</f>
        <v>174.710948</v>
      </c>
      <c r="AN83" s="361">
        <f>'Réserves 2022'!AY$60</f>
        <v>0.30865016900327225</v>
      </c>
      <c r="AO83" s="362">
        <f>'Réserves 2022'!AX$60</f>
        <v>120.21599999999999</v>
      </c>
      <c r="AP83" s="363">
        <f t="shared" si="31"/>
        <v>0.13991377944719952</v>
      </c>
      <c r="AQ83" s="364">
        <f t="shared" si="31"/>
        <v>54.494948000000008</v>
      </c>
      <c r="AR83" s="365">
        <f t="shared" si="32"/>
        <v>-2.0100020668079699E-2</v>
      </c>
      <c r="AS83" s="366">
        <f t="shared" si="32"/>
        <v>-7.8287470000000212</v>
      </c>
    </row>
    <row r="84" spans="1:45">
      <c r="F84" s="392"/>
      <c r="M84" s="392"/>
      <c r="P84" s="393"/>
      <c r="AE84" s="327"/>
      <c r="AO84" s="327"/>
    </row>
    <row r="85" spans="1:45">
      <c r="A85" s="356" t="s">
        <v>293</v>
      </c>
      <c r="B85" s="381">
        <f>'Réserves 2023'!AV$73</f>
        <v>0.48281310694937291</v>
      </c>
      <c r="C85" s="382">
        <f>'Réserves 2022'!AU$73</f>
        <v>0.30646926666282626</v>
      </c>
      <c r="D85" s="382">
        <f>B71</f>
        <v>0.89036299859099843</v>
      </c>
      <c r="F85" s="392"/>
      <c r="J85" s="383" t="s">
        <v>293</v>
      </c>
      <c r="K85" s="384">
        <f>'Réserves 2023'!AX$73</f>
        <v>0.42709188826734645</v>
      </c>
      <c r="L85" s="384">
        <f>'Réserves 2023'!AZ$73</f>
        <v>0.39186321361549453</v>
      </c>
      <c r="M85" s="392"/>
      <c r="P85" s="393"/>
      <c r="Q85" s="356" t="s">
        <v>293</v>
      </c>
      <c r="R85" s="381">
        <f>'Réserves 2023'!AV$73</f>
        <v>0.48281310694937291</v>
      </c>
      <c r="S85" s="360">
        <f>'Réserves 2023'!AU$73</f>
        <v>76.465042999999994</v>
      </c>
      <c r="T85" s="361">
        <f>'Réserves 2022'!AU$73</f>
        <v>0.30646926666282626</v>
      </c>
      <c r="U85" s="362">
        <f>'Réserves 2022'!AT$73</f>
        <v>53.2</v>
      </c>
      <c r="V85" s="363">
        <f>R85-T85</f>
        <v>0.17634384028654665</v>
      </c>
      <c r="W85" s="364">
        <f>S85-U85</f>
        <v>23.265042999999991</v>
      </c>
      <c r="X85" s="365">
        <f>R85-R71</f>
        <v>-0.40754989164162553</v>
      </c>
      <c r="Y85" s="366">
        <f>S85-S71</f>
        <v>-44.229894000000016</v>
      </c>
      <c r="AA85" s="356" t="s">
        <v>293</v>
      </c>
      <c r="AB85" s="381">
        <f>'Réserves 2023'!AX$73</f>
        <v>0.42709188826734645</v>
      </c>
      <c r="AC85" s="360">
        <f>'Réserves 2023'!AW$73</f>
        <v>70.699937000000006</v>
      </c>
      <c r="AD85" s="361">
        <f>'Réserves 2022'!AW$73</f>
        <v>0.27914050348522385</v>
      </c>
      <c r="AE85" s="362">
        <f>'Réserves 2022'!AV$73</f>
        <v>48.456000000000003</v>
      </c>
      <c r="AF85" s="363">
        <f>AB85-AD85</f>
        <v>0.14795138478212261</v>
      </c>
      <c r="AG85" s="364">
        <f>AC85-AE85</f>
        <v>22.243937000000003</v>
      </c>
      <c r="AH85" s="365">
        <f>AB85-R85</f>
        <v>-5.5721218682026452E-2</v>
      </c>
      <c r="AI85" s="366">
        <f>AC85-S85</f>
        <v>-5.7651059999999887</v>
      </c>
      <c r="AK85" s="356" t="s">
        <v>293</v>
      </c>
      <c r="AL85" s="381">
        <f>'Réserves 2023'!AZ$73</f>
        <v>0.39186321361549453</v>
      </c>
      <c r="AM85" s="360">
        <f>'Réserves 2023'!AY$73</f>
        <v>66.402789000000013</v>
      </c>
      <c r="AN85" s="361">
        <f>'Réserves 2022'!AY$73</f>
        <v>0.25502045048677924</v>
      </c>
      <c r="AO85" s="362">
        <f>'Réserves 2022'!AX$73</f>
        <v>44.268999999999998</v>
      </c>
      <c r="AP85" s="363">
        <f>AL85-AN85</f>
        <v>0.13684276312871529</v>
      </c>
      <c r="AQ85" s="364">
        <f>AM85-AO85</f>
        <v>22.133789000000014</v>
      </c>
      <c r="AR85" s="365">
        <f>AL85-AB85</f>
        <v>-3.5228674651851921E-2</v>
      </c>
      <c r="AS85" s="366">
        <f>AM85-AM71</f>
        <v>-17.118826999999982</v>
      </c>
    </row>
    <row r="86" spans="1:45">
      <c r="F86" s="327"/>
      <c r="M86" s="327"/>
    </row>
    <row r="87" spans="1:45">
      <c r="A87" s="73" t="s">
        <v>223</v>
      </c>
    </row>
    <row r="88" spans="1:45">
      <c r="R88" s="458" t="s">
        <v>364</v>
      </c>
      <c r="S88" s="458"/>
      <c r="T88" s="455" t="s">
        <v>365</v>
      </c>
      <c r="U88" s="455"/>
      <c r="V88" s="456" t="s">
        <v>366</v>
      </c>
      <c r="W88" s="456"/>
      <c r="X88" s="457" t="s">
        <v>367</v>
      </c>
      <c r="Y88" s="457"/>
      <c r="AB88" s="458" t="s">
        <v>368</v>
      </c>
      <c r="AC88" s="458"/>
      <c r="AD88" s="455" t="s">
        <v>369</v>
      </c>
      <c r="AE88" s="455"/>
      <c r="AF88" s="456" t="s">
        <v>370</v>
      </c>
      <c r="AG88" s="456"/>
      <c r="AH88" s="457" t="s">
        <v>371</v>
      </c>
      <c r="AI88" s="457"/>
      <c r="AL88" s="458" t="s">
        <v>372</v>
      </c>
      <c r="AM88" s="458"/>
      <c r="AN88" s="455" t="s">
        <v>373</v>
      </c>
      <c r="AO88" s="455"/>
      <c r="AP88" s="456" t="s">
        <v>374</v>
      </c>
      <c r="AQ88" s="456"/>
      <c r="AR88" s="463" t="s">
        <v>375</v>
      </c>
      <c r="AS88" s="463"/>
    </row>
    <row r="89" spans="1:45" ht="38.25">
      <c r="A89" s="328" t="s">
        <v>275</v>
      </c>
      <c r="B89" s="329" t="s">
        <v>376</v>
      </c>
      <c r="C89" s="328" t="s">
        <v>377</v>
      </c>
      <c r="D89" s="329" t="s">
        <v>359</v>
      </c>
      <c r="F89" s="325"/>
      <c r="J89" s="375" t="s">
        <v>314</v>
      </c>
      <c r="K89" s="376" t="s">
        <v>378</v>
      </c>
      <c r="L89" s="376" t="s">
        <v>379</v>
      </c>
      <c r="M89" s="325"/>
      <c r="Q89" s="328" t="s">
        <v>275</v>
      </c>
      <c r="R89" s="331" t="s">
        <v>281</v>
      </c>
      <c r="S89" s="331" t="s">
        <v>282</v>
      </c>
      <c r="T89" s="332" t="s">
        <v>281</v>
      </c>
      <c r="U89" s="332" t="s">
        <v>282</v>
      </c>
      <c r="V89" s="333" t="s">
        <v>283</v>
      </c>
      <c r="W89" s="333" t="s">
        <v>284</v>
      </c>
      <c r="X89" s="334" t="s">
        <v>283</v>
      </c>
      <c r="Y89" s="334" t="s">
        <v>284</v>
      </c>
      <c r="AA89" s="328" t="s">
        <v>275</v>
      </c>
      <c r="AB89" s="331" t="s">
        <v>281</v>
      </c>
      <c r="AC89" s="331" t="s">
        <v>282</v>
      </c>
      <c r="AD89" s="332" t="s">
        <v>281</v>
      </c>
      <c r="AE89" s="332" t="s">
        <v>282</v>
      </c>
      <c r="AF89" s="333" t="s">
        <v>283</v>
      </c>
      <c r="AG89" s="333" t="s">
        <v>284</v>
      </c>
      <c r="AH89" s="334" t="s">
        <v>283</v>
      </c>
      <c r="AI89" s="334" t="s">
        <v>284</v>
      </c>
      <c r="AK89" s="328" t="s">
        <v>275</v>
      </c>
      <c r="AL89" s="331" t="s">
        <v>281</v>
      </c>
      <c r="AM89" s="331" t="s">
        <v>282</v>
      </c>
      <c r="AN89" s="332" t="s">
        <v>281</v>
      </c>
      <c r="AO89" s="332" t="s">
        <v>282</v>
      </c>
      <c r="AP89" s="333" t="s">
        <v>283</v>
      </c>
      <c r="AQ89" s="333" t="s">
        <v>284</v>
      </c>
      <c r="AR89" s="334" t="s">
        <v>283</v>
      </c>
      <c r="AS89" s="334" t="s">
        <v>284</v>
      </c>
    </row>
    <row r="90" spans="1:45">
      <c r="A90" s="335" t="s">
        <v>285</v>
      </c>
      <c r="B90" s="336">
        <f>'Réserves 2023'!BB$14</f>
        <v>0.45057104078862764</v>
      </c>
      <c r="C90" s="337">
        <f>'Réserves 2022'!BA$14</f>
        <v>0.1624116008286306</v>
      </c>
      <c r="D90" s="336">
        <f t="shared" ref="D90:D97" si="33">B76</f>
        <v>0.48699835702550187</v>
      </c>
      <c r="E90" s="394"/>
      <c r="F90" s="395"/>
      <c r="J90" s="335" t="s">
        <v>285</v>
      </c>
      <c r="K90" s="336">
        <f>'Réserves 2023'!BD$14</f>
        <v>0.43742610186441888</v>
      </c>
      <c r="L90" s="336">
        <f>'Réserves 2023'!BD$14</f>
        <v>0.43742610186441888</v>
      </c>
      <c r="M90" s="395"/>
      <c r="Q90" s="335" t="s">
        <v>285</v>
      </c>
      <c r="R90" s="338">
        <f>'Réserves 2023'!BB$14</f>
        <v>0.45057104078862764</v>
      </c>
      <c r="S90" s="339">
        <f>'Réserves 2023'!BA$14</f>
        <v>31.537719999999993</v>
      </c>
      <c r="T90" s="340">
        <f>'Réserves 2022'!BA$14</f>
        <v>0.1624116008286306</v>
      </c>
      <c r="U90" s="341">
        <f>'Réserves 2022'!AZ$14</f>
        <v>11.368</v>
      </c>
      <c r="V90" s="340">
        <f t="shared" ref="V90:W97" si="34">R90-T90</f>
        <v>0.28815943995999704</v>
      </c>
      <c r="W90" s="339">
        <f t="shared" si="34"/>
        <v>20.169719999999991</v>
      </c>
      <c r="X90" s="342">
        <f t="shared" ref="X90:Y97" si="35">R90-R76</f>
        <v>-3.642731623687423E-2</v>
      </c>
      <c r="Y90" s="343">
        <f t="shared" si="35"/>
        <v>-2.5497300000000109</v>
      </c>
      <c r="AA90" s="335" t="s">
        <v>285</v>
      </c>
      <c r="AB90" s="338">
        <f>'Réserves 2023'!BD$14</f>
        <v>0.43742610186441888</v>
      </c>
      <c r="AC90" s="339">
        <f>'Réserves 2023'!BC$14</f>
        <v>30.617640000000002</v>
      </c>
      <c r="AD90" s="340">
        <f>'Réserves 2022'!BC$14</f>
        <v>0.15911136509750695</v>
      </c>
      <c r="AE90" s="341">
        <f>'Réserves 2022'!BB$14</f>
        <v>11.137</v>
      </c>
      <c r="AF90" s="340">
        <f t="shared" ref="AF90:AG97" si="36">AB90-AD90</f>
        <v>0.27831473676691193</v>
      </c>
      <c r="AG90" s="339">
        <f t="shared" si="36"/>
        <v>19.480640000000001</v>
      </c>
      <c r="AH90" s="342">
        <f t="shared" ref="AH90:AI97" si="37">AB90-R90</f>
        <v>-1.314493892420876E-2</v>
      </c>
      <c r="AI90" s="343">
        <f t="shared" si="37"/>
        <v>-0.92007999999999157</v>
      </c>
      <c r="AK90" s="335" t="s">
        <v>285</v>
      </c>
      <c r="AL90" s="338">
        <f>'Réserves 2023'!BF14</f>
        <v>0.42985927566254734</v>
      </c>
      <c r="AM90" s="339">
        <f>'Réserves 2023'!BE$14</f>
        <v>30.088000000000001</v>
      </c>
      <c r="AN90" s="340">
        <f>'Réserves 2022'!BE$14</f>
        <v>0.15563968854918209</v>
      </c>
      <c r="AO90" s="341">
        <f>'Réserves 2022'!BD$14</f>
        <v>10.894</v>
      </c>
      <c r="AP90" s="340">
        <f t="shared" ref="AP90:AQ97" si="38">AL90-AN90</f>
        <v>0.27421958711336525</v>
      </c>
      <c r="AQ90" s="339">
        <f t="shared" si="38"/>
        <v>19.194000000000003</v>
      </c>
      <c r="AR90" s="342">
        <f t="shared" ref="AR90:AS97" si="39">AL90-AB90</f>
        <v>-7.566826201871546E-3</v>
      </c>
      <c r="AS90" s="343">
        <f t="shared" si="39"/>
        <v>-0.52964000000000055</v>
      </c>
    </row>
    <row r="91" spans="1:45">
      <c r="A91" s="344" t="s">
        <v>286</v>
      </c>
      <c r="B91" s="345">
        <f>'Réserves 2023'!BB$16</f>
        <v>0.12924528301886795</v>
      </c>
      <c r="C91" s="346">
        <f>'Réserves 2022'!BA$16</f>
        <v>0.1009433962264151</v>
      </c>
      <c r="D91" s="345">
        <f t="shared" si="33"/>
        <v>0.32877358490566039</v>
      </c>
      <c r="E91" s="394"/>
      <c r="F91" s="395"/>
      <c r="J91" s="378" t="s">
        <v>286</v>
      </c>
      <c r="K91" s="379">
        <f>'Réserves 2023'!BD$16</f>
        <v>0.10188679245283019</v>
      </c>
      <c r="L91" s="379">
        <f>'Réserves 2023'!BF$16</f>
        <v>8.3490566037735858E-2</v>
      </c>
      <c r="M91" s="395"/>
      <c r="Q91" s="344" t="s">
        <v>286</v>
      </c>
      <c r="R91" s="347">
        <f>'Réserves 2023'!BB$16</f>
        <v>0.12924528301886795</v>
      </c>
      <c r="S91" s="348">
        <f>'Réserves 2023'!BA$16</f>
        <v>2.74</v>
      </c>
      <c r="T91" s="349">
        <f>'Réserves 2022'!BA$16</f>
        <v>0.1009433962264151</v>
      </c>
      <c r="U91" s="350">
        <f>'Réserves 2022'!AZ$16</f>
        <v>2.14</v>
      </c>
      <c r="V91" s="351">
        <f t="shared" si="34"/>
        <v>2.8301886792452852E-2</v>
      </c>
      <c r="W91" s="352">
        <f t="shared" si="34"/>
        <v>0.60000000000000009</v>
      </c>
      <c r="X91" s="353">
        <f t="shared" si="35"/>
        <v>-0.19952830188679244</v>
      </c>
      <c r="Y91" s="354">
        <f t="shared" si="35"/>
        <v>-4.2299999999999995</v>
      </c>
      <c r="AA91" s="344" t="s">
        <v>286</v>
      </c>
      <c r="AB91" s="347">
        <f>'Réserves 2023'!BD$16</f>
        <v>0.10188679245283019</v>
      </c>
      <c r="AC91" s="348">
        <f>'Réserves 2023'!BC$16</f>
        <v>2.16</v>
      </c>
      <c r="AD91" s="349">
        <f>'Réserves 2022'!BC$16</f>
        <v>0.14009433962264153</v>
      </c>
      <c r="AE91" s="350">
        <f>'Réserves 2022'!BB$16</f>
        <v>2.97</v>
      </c>
      <c r="AF91" s="351">
        <f t="shared" si="36"/>
        <v>-3.820754716981134E-2</v>
      </c>
      <c r="AG91" s="352">
        <f t="shared" si="36"/>
        <v>-0.81</v>
      </c>
      <c r="AH91" s="353">
        <f t="shared" si="37"/>
        <v>-2.7358490566037758E-2</v>
      </c>
      <c r="AI91" s="354">
        <f t="shared" si="37"/>
        <v>-0.58000000000000007</v>
      </c>
      <c r="AK91" s="344" t="s">
        <v>286</v>
      </c>
      <c r="AL91" s="347">
        <f>'Réserves 2023'!BF$16</f>
        <v>8.3490566037735858E-2</v>
      </c>
      <c r="AM91" s="347">
        <f>'Réserves 2023'!BE$16</f>
        <v>1.77</v>
      </c>
      <c r="AN91" s="349">
        <f>'Réserves 2022'!BE$16</f>
        <v>0.1330188679245283</v>
      </c>
      <c r="AO91" s="350">
        <f>'Réserves 2022'!BD$16</f>
        <v>2.82</v>
      </c>
      <c r="AP91" s="351">
        <f t="shared" si="38"/>
        <v>-4.9528301886792442E-2</v>
      </c>
      <c r="AQ91" s="352">
        <f t="shared" si="38"/>
        <v>-1.0499999999999998</v>
      </c>
      <c r="AR91" s="353">
        <f t="shared" si="39"/>
        <v>-1.8396226415094336E-2</v>
      </c>
      <c r="AS91" s="354">
        <f t="shared" si="39"/>
        <v>-0.39000000000000012</v>
      </c>
    </row>
    <row r="92" spans="1:45">
      <c r="A92" s="335" t="s">
        <v>287</v>
      </c>
      <c r="B92" s="336">
        <f>'Réserves 2023'!BB$18</f>
        <v>0.29247935386168605</v>
      </c>
      <c r="C92" s="337">
        <f>'Réserves 2022'!BA$18</f>
        <v>0.37758707723372037</v>
      </c>
      <c r="D92" s="336">
        <f t="shared" si="33"/>
        <v>0.39857526501766788</v>
      </c>
      <c r="E92" s="394"/>
      <c r="F92" s="395"/>
      <c r="J92" s="335" t="s">
        <v>287</v>
      </c>
      <c r="K92" s="336">
        <f>'Réserves 2023'!AX$18</f>
        <v>0.32925754669358914</v>
      </c>
      <c r="L92" s="336">
        <f>'Réserves 2023'!BF$18</f>
        <v>0.22211004543160023</v>
      </c>
      <c r="M92" s="395"/>
      <c r="Q92" s="335" t="s">
        <v>287</v>
      </c>
      <c r="R92" s="338">
        <f>'Réserves 2023'!BB$18</f>
        <v>0.29247935386168605</v>
      </c>
      <c r="S92" s="339">
        <f>'Réserves 2023'!BA$18</f>
        <v>1.448504</v>
      </c>
      <c r="T92" s="340">
        <f>'Réserves 2022'!BA$18</f>
        <v>0.37758707723372037</v>
      </c>
      <c r="U92" s="341">
        <f>'Réserves 2022'!AZ$18</f>
        <v>1.87</v>
      </c>
      <c r="V92" s="340">
        <f t="shared" si="34"/>
        <v>-8.5107723372034316E-2</v>
      </c>
      <c r="W92" s="339">
        <f t="shared" si="34"/>
        <v>-0.42149600000000009</v>
      </c>
      <c r="X92" s="342">
        <f t="shared" si="35"/>
        <v>-0.10609591115598183</v>
      </c>
      <c r="Y92" s="343">
        <f t="shared" si="35"/>
        <v>-0.52543999999999991</v>
      </c>
      <c r="AA92" s="335" t="s">
        <v>287</v>
      </c>
      <c r="AB92" s="338">
        <f>'Réserves 2023'!BD$18</f>
        <v>0.27440848056537104</v>
      </c>
      <c r="AC92" s="339">
        <f>'Réserves 2023'!BC$18</f>
        <v>1.359008</v>
      </c>
      <c r="AD92" s="340">
        <f>'Réserves 2022'!BC$18</f>
        <v>0.38364462392730947</v>
      </c>
      <c r="AE92" s="341">
        <f>'Réserves 2022'!BB$18</f>
        <v>1.9</v>
      </c>
      <c r="AF92" s="340">
        <f t="shared" si="36"/>
        <v>-0.10923614336193843</v>
      </c>
      <c r="AG92" s="339">
        <f t="shared" si="36"/>
        <v>-0.54099199999999992</v>
      </c>
      <c r="AH92" s="342">
        <f t="shared" si="37"/>
        <v>-1.8070873296315015E-2</v>
      </c>
      <c r="AI92" s="343">
        <f t="shared" si="37"/>
        <v>-8.949600000000002E-2</v>
      </c>
      <c r="AK92" s="335" t="s">
        <v>287</v>
      </c>
      <c r="AL92" s="338">
        <f>'Réserves 2023'!BF31</f>
        <v>0.31277309703660672</v>
      </c>
      <c r="AM92" s="339">
        <f>'Réserves 2023'!BE$31</f>
        <v>43.062600000000003</v>
      </c>
      <c r="AN92" s="340">
        <f>'Réserves 2022'!BE$18</f>
        <v>0.38122160524987381</v>
      </c>
      <c r="AO92" s="341">
        <f>'Réserves 2022'!BD$18</f>
        <v>1.8879999999999999</v>
      </c>
      <c r="AP92" s="340">
        <f t="shared" si="38"/>
        <v>-6.844850821326709E-2</v>
      </c>
      <c r="AQ92" s="339">
        <f t="shared" si="38"/>
        <v>41.174600000000005</v>
      </c>
      <c r="AR92" s="342">
        <f t="shared" si="39"/>
        <v>3.836461647123568E-2</v>
      </c>
      <c r="AS92" s="343">
        <f t="shared" si="39"/>
        <v>41.703592</v>
      </c>
    </row>
    <row r="93" spans="1:45">
      <c r="A93" s="344" t="s">
        <v>288</v>
      </c>
      <c r="B93" s="345">
        <f>'Réserves 2023'!BB$31</f>
        <v>0.36061780331202792</v>
      </c>
      <c r="C93" s="346">
        <f>'Réserves 2022'!BA$31</f>
        <v>0.31113451481696697</v>
      </c>
      <c r="D93" s="345">
        <f t="shared" si="33"/>
        <v>0.43608214700755382</v>
      </c>
      <c r="E93" s="394"/>
      <c r="F93" s="395"/>
      <c r="J93" s="378" t="s">
        <v>288</v>
      </c>
      <c r="K93" s="379">
        <f>'Réserves 2023'!BD$31</f>
        <v>0.33538111744625221</v>
      </c>
      <c r="L93" s="379">
        <f>'Réserves 2023'!BF$31</f>
        <v>0.31277309703660672</v>
      </c>
      <c r="M93" s="395"/>
      <c r="Q93" s="344" t="s">
        <v>288</v>
      </c>
      <c r="R93" s="347">
        <f>'Réserves 2023'!BB$31</f>
        <v>0.36061780331202792</v>
      </c>
      <c r="S93" s="348">
        <f>'Réserves 2023'!BA$31</f>
        <v>49.649859159999998</v>
      </c>
      <c r="T93" s="349">
        <f>'Réserves 2022'!BA$31</f>
        <v>0.31113451481696697</v>
      </c>
      <c r="U93" s="350">
        <f>'Réserves 2022'!AZ$31</f>
        <v>42.837000000000003</v>
      </c>
      <c r="V93" s="351">
        <f t="shared" si="34"/>
        <v>4.9483288495060951E-2</v>
      </c>
      <c r="W93" s="352">
        <f t="shared" si="34"/>
        <v>6.812859159999995</v>
      </c>
      <c r="X93" s="353">
        <f t="shared" si="35"/>
        <v>-7.5464343695525904E-2</v>
      </c>
      <c r="Y93" s="354">
        <f t="shared" si="35"/>
        <v>-10.389930840000005</v>
      </c>
      <c r="AA93" s="344" t="s">
        <v>288</v>
      </c>
      <c r="AB93" s="347">
        <f>'Réserves 2023'!BD$31</f>
        <v>0.33538111744625221</v>
      </c>
      <c r="AC93" s="348">
        <f>'Réserves 2023'!BC$31</f>
        <v>46.175272249999999</v>
      </c>
      <c r="AD93" s="349">
        <f>'Réserves 2022'!BC$31</f>
        <v>0.29676786751888445</v>
      </c>
      <c r="AE93" s="350">
        <f>'Réserves 2022'!BB$31</f>
        <v>40.859000000000002</v>
      </c>
      <c r="AF93" s="351">
        <f t="shared" si="36"/>
        <v>3.8613249927367754E-2</v>
      </c>
      <c r="AG93" s="352">
        <f t="shared" si="36"/>
        <v>5.3162722499999973</v>
      </c>
      <c r="AH93" s="353">
        <f t="shared" si="37"/>
        <v>-2.523668586577571E-2</v>
      </c>
      <c r="AI93" s="354">
        <f t="shared" si="37"/>
        <v>-3.4745869099999993</v>
      </c>
      <c r="AK93" s="344" t="s">
        <v>288</v>
      </c>
      <c r="AL93" s="347">
        <f>'Réserves 2023'!BF$31</f>
        <v>0.31277309703660672</v>
      </c>
      <c r="AM93" s="348">
        <f>'Réserves 2023'!BE$31</f>
        <v>43.062600000000003</v>
      </c>
      <c r="AN93" s="349">
        <f>'Réserves 2022'!BE$31</f>
        <v>0.27188407902382339</v>
      </c>
      <c r="AO93" s="350">
        <f>'Réserves 2022'!BD$31</f>
        <v>37.433</v>
      </c>
      <c r="AP93" s="351">
        <f t="shared" si="38"/>
        <v>4.0889018012783329E-2</v>
      </c>
      <c r="AQ93" s="352">
        <f t="shared" si="38"/>
        <v>5.6296000000000035</v>
      </c>
      <c r="AR93" s="353">
        <f t="shared" si="39"/>
        <v>-2.2608020409645491E-2</v>
      </c>
      <c r="AS93" s="354">
        <f t="shared" si="39"/>
        <v>-3.1126722499999957</v>
      </c>
    </row>
    <row r="94" spans="1:45">
      <c r="A94" s="335" t="s">
        <v>289</v>
      </c>
      <c r="B94" s="336">
        <f>'Réserves 2023'!BB$45</f>
        <v>0.75000000000000011</v>
      </c>
      <c r="C94" s="337">
        <f>'Réserves 2022'!BA$45</f>
        <v>0.66951219512195126</v>
      </c>
      <c r="D94" s="336">
        <f t="shared" si="33"/>
        <v>0.80853658536585371</v>
      </c>
      <c r="E94" s="394"/>
      <c r="F94" s="395"/>
      <c r="J94" s="335" t="s">
        <v>289</v>
      </c>
      <c r="K94" s="336">
        <f>'Réserves 2023'!BD$45</f>
        <v>0.71341463414634143</v>
      </c>
      <c r="L94" s="336">
        <f>'Réserves 2023'!BF$45</f>
        <v>0.69512195121951226</v>
      </c>
      <c r="M94" s="395"/>
      <c r="Q94" s="335" t="s">
        <v>289</v>
      </c>
      <c r="R94" s="338">
        <f>'Réserves 2023'!BB$45</f>
        <v>0.75000000000000011</v>
      </c>
      <c r="S94" s="339">
        <f>'Réserves 2023'!BA$45</f>
        <v>6.15</v>
      </c>
      <c r="T94" s="340">
        <f>'Réserves 2022'!BA$45</f>
        <v>0.66951219512195126</v>
      </c>
      <c r="U94" s="355">
        <f>'Réserves 2022'!AZ$45</f>
        <v>5.49</v>
      </c>
      <c r="V94" s="340">
        <f t="shared" si="34"/>
        <v>8.0487804878048852E-2</v>
      </c>
      <c r="W94" s="339">
        <f t="shared" si="34"/>
        <v>0.66000000000000014</v>
      </c>
      <c r="X94" s="342">
        <f t="shared" si="35"/>
        <v>-5.85365853658536E-2</v>
      </c>
      <c r="Y94" s="343">
        <f t="shared" si="35"/>
        <v>-0.47999999999999954</v>
      </c>
      <c r="AA94" s="335" t="s">
        <v>289</v>
      </c>
      <c r="AB94" s="338">
        <f>'Réserves 2023'!BD$45</f>
        <v>0.71341463414634143</v>
      </c>
      <c r="AC94" s="339">
        <f>'Réserves 2023'!BC$45</f>
        <v>5.85</v>
      </c>
      <c r="AD94" s="340">
        <f>'Réserves 2022'!BC$45</f>
        <v>0.66951219512195126</v>
      </c>
      <c r="AE94" s="355">
        <f>'Réserves 2022'!BB$45</f>
        <v>5.49</v>
      </c>
      <c r="AF94" s="340">
        <f t="shared" si="36"/>
        <v>4.3902439024390172E-2</v>
      </c>
      <c r="AG94" s="339">
        <f t="shared" si="36"/>
        <v>0.35999999999999943</v>
      </c>
      <c r="AH94" s="342">
        <f t="shared" si="37"/>
        <v>-3.658536585365868E-2</v>
      </c>
      <c r="AI94" s="343">
        <f t="shared" si="37"/>
        <v>-0.30000000000000071</v>
      </c>
      <c r="AK94" s="335" t="s">
        <v>289</v>
      </c>
      <c r="AL94" s="338">
        <f>'Réserves 2023'!BF$45</f>
        <v>0.69512195121951226</v>
      </c>
      <c r="AM94" s="339">
        <f>'Réserves 2023'!BE$45</f>
        <v>5.7</v>
      </c>
      <c r="AN94" s="340">
        <f>'Réserves 2022'!BE$45</f>
        <v>0.65</v>
      </c>
      <c r="AO94" s="355">
        <f>'Réserves 2022'!BD$45</f>
        <v>5.33</v>
      </c>
      <c r="AP94" s="340">
        <f t="shared" si="38"/>
        <v>4.5121951219512235E-2</v>
      </c>
      <c r="AQ94" s="339">
        <f t="shared" si="38"/>
        <v>0.37000000000000011</v>
      </c>
      <c r="AR94" s="342">
        <f t="shared" si="39"/>
        <v>-1.8292682926829174E-2</v>
      </c>
      <c r="AS94" s="343">
        <f t="shared" si="39"/>
        <v>-0.14999999999999947</v>
      </c>
    </row>
    <row r="95" spans="1:45">
      <c r="A95" s="344" t="s">
        <v>290</v>
      </c>
      <c r="B95" s="345">
        <f>'Réserves 2023'!BB$43</f>
        <v>0.49463082127690211</v>
      </c>
      <c r="C95" s="346">
        <f>'Réserves 2022'!BA$43</f>
        <v>0.23103721298495644</v>
      </c>
      <c r="D95" s="345">
        <f t="shared" si="33"/>
        <v>0.56998128553948024</v>
      </c>
      <c r="E95" s="394"/>
      <c r="F95" s="395"/>
      <c r="J95" s="378" t="s">
        <v>290</v>
      </c>
      <c r="K95" s="379">
        <f>'Réserves 2023'!BD$43</f>
        <v>0.46686388828906644</v>
      </c>
      <c r="L95" s="379">
        <f>'Réserves 2023'!BF$43</f>
        <v>0.43859497588713742</v>
      </c>
      <c r="M95" s="395"/>
      <c r="Q95" s="344" t="s">
        <v>290</v>
      </c>
      <c r="R95" s="347">
        <f>'Réserves 2023'!BB$43</f>
        <v>0.49463082127690211</v>
      </c>
      <c r="S95" s="348">
        <f>'Réserves 2023'!BA$43</f>
        <v>34.359530000000007</v>
      </c>
      <c r="T95" s="349">
        <f>'Réserves 2022'!BA$43</f>
        <v>0.23103721298495644</v>
      </c>
      <c r="U95" s="350">
        <f>'Réserves 2022'!AZ$43</f>
        <v>16.048999999999999</v>
      </c>
      <c r="V95" s="351">
        <f t="shared" si="34"/>
        <v>0.26359360829194567</v>
      </c>
      <c r="W95" s="352">
        <f t="shared" si="34"/>
        <v>18.310530000000007</v>
      </c>
      <c r="X95" s="353">
        <f t="shared" si="35"/>
        <v>-7.5350464262578132E-2</v>
      </c>
      <c r="Y95" s="354">
        <f t="shared" si="35"/>
        <v>-5.2342199999999934</v>
      </c>
      <c r="AA95" s="344" t="s">
        <v>290</v>
      </c>
      <c r="AB95" s="347">
        <f>'Réserves 2023'!BD$43</f>
        <v>0.46686388828906644</v>
      </c>
      <c r="AC95" s="348">
        <f>'Réserves 2023'!BC$43</f>
        <v>32.430700000000002</v>
      </c>
      <c r="AD95" s="349">
        <f>'Réserves 2022'!BC$43</f>
        <v>0.21920391564097028</v>
      </c>
      <c r="AE95" s="350">
        <f>'Réserves 2022'!BB$43</f>
        <v>15.227</v>
      </c>
      <c r="AF95" s="351">
        <f t="shared" si="36"/>
        <v>0.24765997264809617</v>
      </c>
      <c r="AG95" s="352">
        <f t="shared" si="36"/>
        <v>17.203700000000001</v>
      </c>
      <c r="AH95" s="353">
        <f t="shared" si="37"/>
        <v>-2.7766932987835669E-2</v>
      </c>
      <c r="AI95" s="354">
        <f t="shared" si="37"/>
        <v>-1.9288300000000049</v>
      </c>
      <c r="AK95" s="344" t="s">
        <v>290</v>
      </c>
      <c r="AL95" s="347">
        <f>'Réserves 2023'!BF$43</f>
        <v>0.43859497588713742</v>
      </c>
      <c r="AM95" s="348">
        <f>'Réserves 2023'!BE$43</f>
        <v>30.467000000000002</v>
      </c>
      <c r="AN95" s="349">
        <f>'Réserves 2022'!BE$43</f>
        <v>0.20297991794428846</v>
      </c>
      <c r="AO95" s="350">
        <f>'Réserves 2022'!BD$43</f>
        <v>14.1</v>
      </c>
      <c r="AP95" s="351">
        <f t="shared" si="38"/>
        <v>0.23561505794284895</v>
      </c>
      <c r="AQ95" s="352">
        <f t="shared" si="38"/>
        <v>16.367000000000004</v>
      </c>
      <c r="AR95" s="353">
        <f t="shared" si="39"/>
        <v>-2.8268912401929025E-2</v>
      </c>
      <c r="AS95" s="354">
        <f t="shared" si="39"/>
        <v>-1.9636999999999993</v>
      </c>
    </row>
    <row r="96" spans="1:45">
      <c r="A96" s="335" t="s">
        <v>291</v>
      </c>
      <c r="B96" s="336">
        <f>'Réserves 2023'!BB$58</f>
        <v>0.48894236957831694</v>
      </c>
      <c r="C96" s="337">
        <f>'Réserves 2022'!BA$58</f>
        <v>0.39433567957741961</v>
      </c>
      <c r="D96" s="336">
        <f t="shared" si="33"/>
        <v>0.58555899585881499</v>
      </c>
      <c r="E96" s="394"/>
      <c r="F96" s="395"/>
      <c r="J96" s="335" t="s">
        <v>291</v>
      </c>
      <c r="K96" s="336">
        <f>'Réserves 2023'!BD$58</f>
        <v>0.46696011385053265</v>
      </c>
      <c r="L96" s="336">
        <f>'Réserves 2023'!BF$58</f>
        <v>0.435865110196546</v>
      </c>
      <c r="M96" s="395"/>
      <c r="Q96" s="335" t="s">
        <v>291</v>
      </c>
      <c r="R96" s="338">
        <f>'Réserves 2023'!BB$58</f>
        <v>0.48894236957831694</v>
      </c>
      <c r="S96" s="339">
        <f>'Réserves 2023'!BA$58</f>
        <v>38.136037999999992</v>
      </c>
      <c r="T96" s="340">
        <f>'Réserves 2022'!BA$58</f>
        <v>0.39433567957741961</v>
      </c>
      <c r="U96" s="341">
        <f>'Réserves 2022'!AZ$58</f>
        <v>30.757000000000001</v>
      </c>
      <c r="V96" s="340">
        <f t="shared" si="34"/>
        <v>9.4606690000897331E-2</v>
      </c>
      <c r="W96" s="339">
        <f t="shared" si="34"/>
        <v>7.3790379999999907</v>
      </c>
      <c r="X96" s="342">
        <f t="shared" si="35"/>
        <v>-9.6616626280498052E-2</v>
      </c>
      <c r="Y96" s="343">
        <f t="shared" si="35"/>
        <v>-7.5358070000000055</v>
      </c>
      <c r="AA96" s="335" t="s">
        <v>291</v>
      </c>
      <c r="AB96" s="338">
        <f>'Réserves 2023'!BD$58</f>
        <v>0.46696011385053265</v>
      </c>
      <c r="AC96" s="339">
        <f>'Réserves 2023'!BC$58</f>
        <v>36.421488000000004</v>
      </c>
      <c r="AD96" s="340">
        <f>'Réserves 2022'!BC$58</f>
        <v>0.38095054938010431</v>
      </c>
      <c r="AE96" s="341">
        <f>'Réserves 2022'!BB$58</f>
        <v>29.713000000000001</v>
      </c>
      <c r="AF96" s="340">
        <f t="shared" si="36"/>
        <v>8.6009564470428346E-2</v>
      </c>
      <c r="AG96" s="339">
        <f t="shared" si="36"/>
        <v>6.7084880000000027</v>
      </c>
      <c r="AH96" s="342">
        <f t="shared" si="37"/>
        <v>-2.1982255727784283E-2</v>
      </c>
      <c r="AI96" s="343">
        <f t="shared" si="37"/>
        <v>-1.7145499999999885</v>
      </c>
      <c r="AK96" s="335" t="s">
        <v>291</v>
      </c>
      <c r="AL96" s="338">
        <f>'Réserves 2023'!BF$58</f>
        <v>0.435865110196546</v>
      </c>
      <c r="AM96" s="339">
        <f>'Réserves 2023'!BE$58</f>
        <v>33.996171000000004</v>
      </c>
      <c r="AN96" s="340">
        <f>'Réserves 2022'!BE$58</f>
        <v>0.36371911740195123</v>
      </c>
      <c r="AO96" s="341">
        <f>'Réserves 2022'!BD$58</f>
        <v>28.368999999999996</v>
      </c>
      <c r="AP96" s="340">
        <f t="shared" si="38"/>
        <v>7.2145992794594771E-2</v>
      </c>
      <c r="AQ96" s="339">
        <f t="shared" si="38"/>
        <v>5.6271710000000077</v>
      </c>
      <c r="AR96" s="342">
        <f t="shared" si="39"/>
        <v>-3.1095003653986653E-2</v>
      </c>
      <c r="AS96" s="343">
        <f t="shared" si="39"/>
        <v>-2.4253169999999997</v>
      </c>
    </row>
    <row r="97" spans="1:45">
      <c r="A97" s="356" t="s">
        <v>292</v>
      </c>
      <c r="B97" s="357">
        <f>'Réserves 2023'!BB$60</f>
        <v>0.42111957102823067</v>
      </c>
      <c r="C97" s="358">
        <f>'Réserves 2022'!BA$60</f>
        <v>0.28368415579880846</v>
      </c>
      <c r="D97" s="357">
        <f t="shared" si="33"/>
        <v>0.50057005131075416</v>
      </c>
      <c r="F97" s="395"/>
      <c r="J97" s="141" t="s">
        <v>292</v>
      </c>
      <c r="K97" s="380">
        <f>'Réserves 2023'!BD$60</f>
        <v>0.39799303511391204</v>
      </c>
      <c r="L97" s="380">
        <f>'Réserves 2023'!BF$60</f>
        <v>0.37532146822956719</v>
      </c>
      <c r="M97" s="395"/>
      <c r="Q97" s="356" t="s">
        <v>292</v>
      </c>
      <c r="R97" s="359">
        <f>'Réserves 2023'!BB$60</f>
        <v>0.42111957102823067</v>
      </c>
      <c r="S97" s="360">
        <f>'Réserves 2023'!BA$60</f>
        <v>164.02165116000003</v>
      </c>
      <c r="T97" s="361">
        <f>'Réserves 2022'!BA$60</f>
        <v>0.28368415579880846</v>
      </c>
      <c r="U97" s="362">
        <f>'Réserves 2022'!AZ$60</f>
        <v>110.492</v>
      </c>
      <c r="V97" s="363">
        <f t="shared" si="34"/>
        <v>0.13743541522942221</v>
      </c>
      <c r="W97" s="364">
        <f t="shared" si="34"/>
        <v>53.529651160000029</v>
      </c>
      <c r="X97" s="365">
        <f t="shared" si="35"/>
        <v>-7.9450480282523495E-2</v>
      </c>
      <c r="Y97" s="366">
        <f t="shared" si="35"/>
        <v>-30.945127839999941</v>
      </c>
      <c r="AA97" s="356" t="s">
        <v>292</v>
      </c>
      <c r="AB97" s="359">
        <f>'Réserves 2023'!BD$60</f>
        <v>0.39799303511391204</v>
      </c>
      <c r="AC97" s="360">
        <f>'Réserves 2023'!BC$60</f>
        <v>155.01410825000002</v>
      </c>
      <c r="AD97" s="361">
        <f>'Réserves 2022'!BC$60</f>
        <v>0.27060036278256538</v>
      </c>
      <c r="AE97" s="362">
        <f>'Réserves 2022'!BB$60</f>
        <v>105.396</v>
      </c>
      <c r="AF97" s="363">
        <f t="shared" si="36"/>
        <v>0.12739267233134666</v>
      </c>
      <c r="AG97" s="364">
        <f t="shared" si="36"/>
        <v>49.61810825000002</v>
      </c>
      <c r="AH97" s="365">
        <f t="shared" si="37"/>
        <v>-2.3126535914318624E-2</v>
      </c>
      <c r="AI97" s="366">
        <f t="shared" si="37"/>
        <v>-9.0075429100000122</v>
      </c>
      <c r="AK97" s="356" t="s">
        <v>292</v>
      </c>
      <c r="AL97" s="359">
        <f>'Réserves 2023'!BF$60</f>
        <v>0.37532146822956719</v>
      </c>
      <c r="AM97" s="360">
        <f>'Réserves 2023'!BE$60</f>
        <v>146.18377100000001</v>
      </c>
      <c r="AN97" s="361">
        <f>'Réserves 2022'!BE$60</f>
        <v>0.25888759517265553</v>
      </c>
      <c r="AO97" s="362">
        <f>'Réserves 2022'!BD$60</f>
        <v>100.834</v>
      </c>
      <c r="AP97" s="363">
        <f t="shared" si="38"/>
        <v>0.11643387305691166</v>
      </c>
      <c r="AQ97" s="364">
        <f t="shared" si="38"/>
        <v>45.349771000000004</v>
      </c>
      <c r="AR97" s="365">
        <f t="shared" si="39"/>
        <v>-2.2671566884344851E-2</v>
      </c>
      <c r="AS97" s="366">
        <f t="shared" si="39"/>
        <v>-8.8303372500000137</v>
      </c>
    </row>
    <row r="98" spans="1:45">
      <c r="F98" s="392"/>
      <c r="M98" s="392"/>
      <c r="P98" s="393"/>
      <c r="AE98" s="327"/>
      <c r="AO98" s="327"/>
    </row>
    <row r="99" spans="1:45">
      <c r="A99" s="356" t="s">
        <v>293</v>
      </c>
      <c r="B99" s="381">
        <f>'Réserves 2023'!BB$73</f>
        <v>0.33729887975664685</v>
      </c>
      <c r="C99" s="382">
        <f>'Réserves 2022'!BA$73</f>
        <v>0.2200830457921516</v>
      </c>
      <c r="D99" s="382">
        <f>B85</f>
        <v>0.48281310694937291</v>
      </c>
      <c r="F99" s="392"/>
      <c r="J99" s="383" t="s">
        <v>293</v>
      </c>
      <c r="K99" s="384">
        <f>'Réserves 2023'!BD$73</f>
        <v>0.27200852905905415</v>
      </c>
      <c r="L99" s="384">
        <f>'Réserves 2023'!BF$73</f>
        <v>0.17128775922080203</v>
      </c>
      <c r="M99" s="392"/>
      <c r="P99" s="393"/>
      <c r="Q99" s="356" t="s">
        <v>293</v>
      </c>
      <c r="R99" s="381">
        <f>'Réserves 2023'!BB$73</f>
        <v>0.33729887975664685</v>
      </c>
      <c r="S99" s="360">
        <f>'Réserves 2023'!BA$73</f>
        <v>57.659556999999992</v>
      </c>
      <c r="T99" s="361">
        <f>'Réserves 2022'!BA$73</f>
        <v>0.2200830457921516</v>
      </c>
      <c r="U99" s="362">
        <f>'Réserves 2022'!AZ$73</f>
        <v>37.631999999999998</v>
      </c>
      <c r="V99" s="363">
        <f>R99-T99</f>
        <v>0.11721583396449525</v>
      </c>
      <c r="W99" s="364">
        <f>S99-U99</f>
        <v>20.027556999999995</v>
      </c>
      <c r="X99" s="365">
        <f>R99-R85</f>
        <v>-0.14551422719272605</v>
      </c>
      <c r="Y99" s="366">
        <f>S99-S85</f>
        <v>-18.805486000000002</v>
      </c>
      <c r="AA99" s="356" t="s">
        <v>293</v>
      </c>
      <c r="AB99" s="381">
        <f>'Réserves 2023'!BD$73</f>
        <v>0.27200852905905415</v>
      </c>
      <c r="AC99" s="360">
        <f>'Réserves 2023'!BC$73</f>
        <v>46.498498000000005</v>
      </c>
      <c r="AD99" s="361">
        <f>'Réserves 2022'!BC$73</f>
        <v>0.19717527340780167</v>
      </c>
      <c r="AE99" s="362">
        <f>'Réserves 2022'!BB$73</f>
        <v>33.715000000000003</v>
      </c>
      <c r="AF99" s="363">
        <f>AB99-AD99</f>
        <v>7.4833255651252484E-2</v>
      </c>
      <c r="AG99" s="364">
        <f>AC99-AE99</f>
        <v>12.783498000000002</v>
      </c>
      <c r="AH99" s="365">
        <f>AB99-R99</f>
        <v>-6.5290350697592703E-2</v>
      </c>
      <c r="AI99" s="366">
        <f>AC99-S99</f>
        <v>-11.161058999999987</v>
      </c>
      <c r="AK99" s="356" t="s">
        <v>293</v>
      </c>
      <c r="AL99" s="381">
        <f>'Réserves 2023'!BF$73</f>
        <v>0.17128775922080203</v>
      </c>
      <c r="AM99" s="360">
        <f>'Réserves 2023'!BE$73</f>
        <v>29.280785999999999</v>
      </c>
      <c r="AN99" s="361">
        <f>'Réserves 2022'!BE$73</f>
        <v>0.16374641791917657</v>
      </c>
      <c r="AO99" s="362">
        <f>'Réserves 2022'!BD$73</f>
        <v>27.998999999999999</v>
      </c>
      <c r="AP99" s="363">
        <f>AL99-AN99</f>
        <v>7.5413413016254538E-3</v>
      </c>
      <c r="AQ99" s="364">
        <f>AM99-AO99</f>
        <v>1.2817860000000003</v>
      </c>
      <c r="AR99" s="365">
        <f>AL99-AB99</f>
        <v>-0.10072076983825212</v>
      </c>
      <c r="AS99" s="366">
        <f>AM99-AM85</f>
        <v>-37.122003000000014</v>
      </c>
    </row>
    <row r="100" spans="1:45">
      <c r="F100" s="327"/>
      <c r="J100" t="s">
        <v>380</v>
      </c>
      <c r="K100" s="390">
        <f>('Réserves 2023'!BC73-'Réserves 2023'!BC69)/('Réserves 2023'!R73-'Réserves 2023'!R68-'Réserves 2023'!R69)</f>
        <v>0.23916790434747248</v>
      </c>
      <c r="M100" s="327"/>
    </row>
    <row r="101" spans="1:45">
      <c r="J101" t="s">
        <v>381</v>
      </c>
      <c r="K101" s="294">
        <f>'Réserves 2023'!BD69</f>
        <v>0.35612500000000002</v>
      </c>
    </row>
    <row r="102" spans="1:45">
      <c r="A102" s="73" t="s">
        <v>224</v>
      </c>
    </row>
    <row r="103" spans="1:45">
      <c r="R103" s="458" t="s">
        <v>382</v>
      </c>
      <c r="S103" s="458"/>
      <c r="T103" s="455" t="s">
        <v>383</v>
      </c>
      <c r="U103" s="455"/>
      <c r="V103" s="456" t="s">
        <v>384</v>
      </c>
      <c r="W103" s="456"/>
      <c r="X103" s="457" t="s">
        <v>385</v>
      </c>
      <c r="Y103" s="457"/>
    </row>
    <row r="104" spans="1:45" ht="38.25">
      <c r="A104" s="328" t="s">
        <v>275</v>
      </c>
      <c r="B104" s="329" t="s">
        <v>386</v>
      </c>
      <c r="C104" s="328" t="s">
        <v>387</v>
      </c>
      <c r="D104" s="329" t="s">
        <v>376</v>
      </c>
      <c r="F104" s="325"/>
      <c r="M104" s="325"/>
      <c r="Q104" s="328" t="s">
        <v>275</v>
      </c>
      <c r="R104" s="331" t="s">
        <v>281</v>
      </c>
      <c r="S104" s="331" t="s">
        <v>282</v>
      </c>
      <c r="T104" s="332" t="s">
        <v>281</v>
      </c>
      <c r="U104" s="332" t="s">
        <v>282</v>
      </c>
      <c r="V104" s="333" t="s">
        <v>283</v>
      </c>
      <c r="W104" s="333" t="s">
        <v>284</v>
      </c>
      <c r="X104" s="334" t="s">
        <v>283</v>
      </c>
      <c r="Y104" s="334" t="s">
        <v>284</v>
      </c>
    </row>
    <row r="105" spans="1:45">
      <c r="A105" s="335" t="s">
        <v>285</v>
      </c>
      <c r="B105" s="336">
        <f>'Réserves 2023'!BH$14</f>
        <v>0.4464033145224659</v>
      </c>
      <c r="C105" s="337">
        <f>'Réserves 2022'!BG$14</f>
        <v>0.14758197014072433</v>
      </c>
      <c r="D105" s="336">
        <f t="shared" ref="D105:D112" si="40">B90</f>
        <v>0.45057104078862764</v>
      </c>
      <c r="E105" s="394"/>
      <c r="F105" s="395"/>
      <c r="M105" s="395"/>
      <c r="Q105" s="335" t="s">
        <v>285</v>
      </c>
      <c r="R105" s="338">
        <f>'Réserves 2023'!BH$14</f>
        <v>0.4464033145224659</v>
      </c>
      <c r="S105" s="339">
        <f>'Réserves 2023'!BG$14</f>
        <v>31.246000000000002</v>
      </c>
      <c r="T105" s="340">
        <f>'Réserves 2022'!BG$14</f>
        <v>0.14758197014072433</v>
      </c>
      <c r="U105" s="341">
        <f>'Réserves 2022'!BF$14</f>
        <v>10.33</v>
      </c>
      <c r="V105" s="340">
        <f t="shared" ref="V105:W112" si="41">R105-T105</f>
        <v>0.29882134438174157</v>
      </c>
      <c r="W105" s="339">
        <f t="shared" si="41"/>
        <v>20.916000000000004</v>
      </c>
      <c r="X105" s="342">
        <f t="shared" ref="X105:Y108" si="42">R105-AL90</f>
        <v>1.6544038859918564E-2</v>
      </c>
      <c r="Y105" s="343">
        <f t="shared" si="42"/>
        <v>1.1580000000000013</v>
      </c>
    </row>
    <row r="106" spans="1:45">
      <c r="A106" s="344" t="s">
        <v>286</v>
      </c>
      <c r="B106" s="345">
        <f>'Réserves 2023'!BH$16</f>
        <v>0.11745283018867926</v>
      </c>
      <c r="C106" s="346">
        <f>'Réserves 2022'!BG$16</f>
        <v>0.12264150943396228</v>
      </c>
      <c r="D106" s="345">
        <f t="shared" si="40"/>
        <v>0.12924528301886795</v>
      </c>
      <c r="E106" s="394"/>
      <c r="F106" s="395"/>
      <c r="M106" s="395"/>
      <c r="Q106" s="344" t="s">
        <v>286</v>
      </c>
      <c r="R106" s="347">
        <f>'Réserves 2023'!BH$16</f>
        <v>0.11745283018867926</v>
      </c>
      <c r="S106" s="348">
        <f>'Réserves 2023'!BG$16</f>
        <v>2.4900000000000002</v>
      </c>
      <c r="T106" s="349">
        <f>'Réserves 2022'!BG$16</f>
        <v>0.12264150943396228</v>
      </c>
      <c r="U106" s="350">
        <f>'Réserves 2022'!BF$16</f>
        <v>2.6</v>
      </c>
      <c r="V106" s="351">
        <f t="shared" si="41"/>
        <v>-5.1886792452830177E-3</v>
      </c>
      <c r="W106" s="352">
        <f t="shared" si="41"/>
        <v>-0.10999999999999988</v>
      </c>
      <c r="X106" s="353">
        <f t="shared" si="42"/>
        <v>3.3962264150943403E-2</v>
      </c>
      <c r="Y106" s="354">
        <f t="shared" si="42"/>
        <v>0.7200000000000002</v>
      </c>
    </row>
    <row r="107" spans="1:45">
      <c r="A107" s="335" t="s">
        <v>287</v>
      </c>
      <c r="B107" s="336">
        <f>'Réserves 2023'!BH$18</f>
        <v>0.28228167592125192</v>
      </c>
      <c r="C107" s="337">
        <f>'Réserves 2022'!BG$18</f>
        <v>0.37960625946491672</v>
      </c>
      <c r="D107" s="336">
        <f t="shared" si="40"/>
        <v>0.29247935386168605</v>
      </c>
      <c r="E107" s="394"/>
      <c r="F107" s="395"/>
      <c r="M107" s="395"/>
      <c r="Q107" s="335" t="s">
        <v>287</v>
      </c>
      <c r="R107" s="338">
        <f>'Réserves 2023'!BH$18</f>
        <v>0.28228167592125192</v>
      </c>
      <c r="S107" s="339">
        <f>'Réserves 2023'!BG$18</f>
        <v>1.3979999999999999</v>
      </c>
      <c r="T107" s="340">
        <f>'Réserves 2022'!BG$18</f>
        <v>0.37960625946491672</v>
      </c>
      <c r="U107" s="341">
        <f>'Réserves 2022'!BF$18</f>
        <v>1.88</v>
      </c>
      <c r="V107" s="340">
        <f t="shared" si="41"/>
        <v>-9.73245835436648E-2</v>
      </c>
      <c r="W107" s="339">
        <f t="shared" si="41"/>
        <v>-0.48199999999999998</v>
      </c>
      <c r="X107" s="342">
        <f t="shared" si="42"/>
        <v>-3.04914211153548E-2</v>
      </c>
      <c r="Y107" s="343">
        <f t="shared" si="42"/>
        <v>-41.6646</v>
      </c>
    </row>
    <row r="108" spans="1:45">
      <c r="A108" s="344" t="s">
        <v>288</v>
      </c>
      <c r="B108" s="345">
        <f>'Réserves 2023'!BH$31</f>
        <v>0.29658505229517729</v>
      </c>
      <c r="C108" s="346">
        <f>'Réserves 2022'!BG$31</f>
        <v>0.2502687391051715</v>
      </c>
      <c r="D108" s="345">
        <f t="shared" si="40"/>
        <v>0.36061780331202792</v>
      </c>
      <c r="E108" s="394"/>
      <c r="F108" s="395"/>
      <c r="M108" s="395"/>
      <c r="Q108" s="344" t="s">
        <v>288</v>
      </c>
      <c r="R108" s="347">
        <f>'Réserves 2023'!BH$31</f>
        <v>0.29658505229517729</v>
      </c>
      <c r="S108" s="348">
        <f>'Réserves 2023'!BG$31</f>
        <v>40.833829999999999</v>
      </c>
      <c r="T108" s="349">
        <f>'Réserves 2022'!BG$31</f>
        <v>0.2502687391051715</v>
      </c>
      <c r="U108" s="350">
        <f>'Réserves 2022'!BF$31</f>
        <v>34.457000000000008</v>
      </c>
      <c r="V108" s="351">
        <f t="shared" si="41"/>
        <v>4.6316313190005787E-2</v>
      </c>
      <c r="W108" s="352">
        <f t="shared" si="41"/>
        <v>6.3768299999999911</v>
      </c>
      <c r="X108" s="353">
        <f t="shared" si="42"/>
        <v>-1.618804474142943E-2</v>
      </c>
      <c r="Y108" s="354">
        <f t="shared" si="42"/>
        <v>-2.2287700000000044</v>
      </c>
    </row>
    <row r="109" spans="1:45">
      <c r="A109" s="335" t="s">
        <v>289</v>
      </c>
      <c r="B109" s="336">
        <f>'Réserves 2023'!BH$45</f>
        <v>0.78292682926829271</v>
      </c>
      <c r="C109" s="337">
        <f>'Réserves 2022'!BG$45</f>
        <v>0.6585365853658538</v>
      </c>
      <c r="D109" s="336">
        <f t="shared" si="40"/>
        <v>0.75000000000000011</v>
      </c>
      <c r="E109" s="394"/>
      <c r="F109" s="395"/>
      <c r="M109" s="395"/>
      <c r="Q109" s="335" t="s">
        <v>289</v>
      </c>
      <c r="R109" s="338">
        <f>'Réserves 2023'!BH$45</f>
        <v>0.78292682926829271</v>
      </c>
      <c r="S109" s="339">
        <f>'Réserves 2023'!BG$45</f>
        <v>6.42</v>
      </c>
      <c r="T109" s="340">
        <f>'Réserves 2022'!BG$45</f>
        <v>0.6585365853658538</v>
      </c>
      <c r="U109" s="355">
        <f>'Réserves 2022'!BF$45</f>
        <v>5.4</v>
      </c>
      <c r="V109" s="340">
        <f t="shared" si="41"/>
        <v>0.12439024390243891</v>
      </c>
      <c r="W109" s="339">
        <f t="shared" si="41"/>
        <v>1.0199999999999996</v>
      </c>
      <c r="X109" s="342">
        <f>R109-AL904</f>
        <v>0.78292682926829271</v>
      </c>
      <c r="Y109" s="343">
        <f>S109-AM94</f>
        <v>0.71999999999999975</v>
      </c>
    </row>
    <row r="110" spans="1:45">
      <c r="A110" s="344" t="s">
        <v>290</v>
      </c>
      <c r="B110" s="345">
        <f>'Réserves 2023'!BH$43</f>
        <v>0.43663715540200104</v>
      </c>
      <c r="C110" s="346">
        <f>'Réserves 2022'!BG$43</f>
        <v>0.18498524436766714</v>
      </c>
      <c r="D110" s="345">
        <f t="shared" si="40"/>
        <v>0.49463082127690211</v>
      </c>
      <c r="E110" s="394"/>
      <c r="F110" s="395"/>
      <c r="M110" s="395"/>
      <c r="Q110" s="344" t="s">
        <v>290</v>
      </c>
      <c r="R110" s="347">
        <f>'Réserves 2023'!BH$43</f>
        <v>0.43663715540200104</v>
      </c>
      <c r="S110" s="348">
        <f>'Réserves 2023'!BG$43</f>
        <v>30.331000000000003</v>
      </c>
      <c r="T110" s="349">
        <f>'Réserves 2022'!BG$43</f>
        <v>0.18498524436766714</v>
      </c>
      <c r="U110" s="350">
        <f>'Réserves 2022'!BF$43</f>
        <v>12.849999999999998</v>
      </c>
      <c r="V110" s="351">
        <f t="shared" si="41"/>
        <v>0.25165191103433393</v>
      </c>
      <c r="W110" s="352">
        <f t="shared" si="41"/>
        <v>17.481000000000005</v>
      </c>
      <c r="X110" s="353">
        <f>R110-AL95</f>
        <v>-1.9578204851363745E-3</v>
      </c>
      <c r="Y110" s="354">
        <f>S110-AM95</f>
        <v>-0.13599999999999923</v>
      </c>
    </row>
    <row r="111" spans="1:45">
      <c r="A111" s="335" t="s">
        <v>291</v>
      </c>
      <c r="B111" s="336">
        <f>'Réserves 2023'!BH$58</f>
        <v>0.42279997948639025</v>
      </c>
      <c r="C111" s="337">
        <f>'Réserves 2022'!BG$58</f>
        <v>0.35070579637678356</v>
      </c>
      <c r="D111" s="336">
        <f t="shared" si="40"/>
        <v>0.48894236957831694</v>
      </c>
      <c r="E111" s="394"/>
      <c r="F111" s="395"/>
      <c r="M111" s="395"/>
      <c r="Q111" s="335" t="s">
        <v>291</v>
      </c>
      <c r="R111" s="338">
        <f>'Réserves 2023'!BH$58</f>
        <v>0.42279997948639025</v>
      </c>
      <c r="S111" s="339">
        <f>'Réserves 2023'!BG$58</f>
        <v>32.977129999999988</v>
      </c>
      <c r="T111" s="340">
        <f>'Réserves 2022'!BG$58</f>
        <v>0.35070579637678356</v>
      </c>
      <c r="U111" s="341">
        <f>'Réserves 2022'!BF$58</f>
        <v>27.353999999999992</v>
      </c>
      <c r="V111" s="340">
        <f t="shared" si="41"/>
        <v>7.2094183109606691E-2</v>
      </c>
      <c r="W111" s="339">
        <f t="shared" si="41"/>
        <v>5.6231299999999962</v>
      </c>
      <c r="X111" s="342">
        <f>R111-AL96</f>
        <v>-1.3065130710155748E-2</v>
      </c>
      <c r="Y111" s="343">
        <f>S111-AM96</f>
        <v>-1.0190410000000156</v>
      </c>
    </row>
    <row r="112" spans="1:45">
      <c r="A112" s="356" t="s">
        <v>292</v>
      </c>
      <c r="B112" s="357">
        <f>'Réserves 2023'!BH$60</f>
        <v>0.37406903138595521</v>
      </c>
      <c r="C112" s="358">
        <f>'Réserves 2022'!BG$60</f>
        <v>0.24357781146860183</v>
      </c>
      <c r="D112" s="357">
        <f t="shared" si="40"/>
        <v>0.42111957102823067</v>
      </c>
      <c r="E112" s="394"/>
      <c r="F112" s="395"/>
      <c r="M112" s="395"/>
      <c r="Q112" s="356" t="s">
        <v>292</v>
      </c>
      <c r="R112" s="359">
        <f>'Réserves 2023'!BH$60</f>
        <v>0.37406903138595521</v>
      </c>
      <c r="S112" s="360">
        <f>'Réserves 2023'!BG$60</f>
        <v>145.69595999999999</v>
      </c>
      <c r="T112" s="361">
        <f>'Réserves 2022'!BG$60</f>
        <v>0.24357781146860183</v>
      </c>
      <c r="U112" s="362">
        <f>'Réserves 2022'!BF$60</f>
        <v>94.870999999999981</v>
      </c>
      <c r="V112" s="363">
        <f t="shared" si="41"/>
        <v>0.13049121991735338</v>
      </c>
      <c r="W112" s="364">
        <f t="shared" si="41"/>
        <v>50.824960000000004</v>
      </c>
      <c r="X112" s="365">
        <f>R112-AL97</f>
        <v>-1.2524368436119815E-3</v>
      </c>
      <c r="Y112" s="366">
        <f>S112-AM97</f>
        <v>-0.48781100000002198</v>
      </c>
    </row>
    <row r="113" spans="1:25">
      <c r="E113" s="394"/>
      <c r="F113" s="392"/>
      <c r="M113" s="392"/>
      <c r="P113" s="393"/>
    </row>
    <row r="114" spans="1:25">
      <c r="A114" s="356" t="s">
        <v>293</v>
      </c>
      <c r="B114" s="381">
        <f>'Réserves 2023'!BH$73</f>
        <v>0.15143445854556967</v>
      </c>
      <c r="C114" s="382">
        <f>'Réserves 2022'!BG$73</f>
        <v>0.15272769168730921</v>
      </c>
      <c r="D114" s="382">
        <f>B99</f>
        <v>0.33729887975664685</v>
      </c>
      <c r="E114" s="394"/>
      <c r="F114" s="392"/>
      <c r="M114" s="392"/>
      <c r="P114" s="393"/>
      <c r="Q114" s="356" t="s">
        <v>293</v>
      </c>
      <c r="R114" s="381">
        <f>'Réserves 2023'!BH$73</f>
        <v>0.15143445854556967</v>
      </c>
      <c r="S114" s="360">
        <f>'Réserves 2023'!BG$73</f>
        <v>26.310980000000001</v>
      </c>
      <c r="T114" s="361">
        <f>'Réserves 2022'!BG$73</f>
        <v>0.15272769168730921</v>
      </c>
      <c r="U114" s="362">
        <f>'Réserves 2022'!BF$73</f>
        <v>26.512</v>
      </c>
      <c r="V114" s="363">
        <f>R114-T114</f>
        <v>-1.2932331417395415E-3</v>
      </c>
      <c r="W114" s="364">
        <f>S114-U114</f>
        <v>-0.20101999999999975</v>
      </c>
      <c r="X114" s="365">
        <f>R114-AL99</f>
        <v>-1.985330067523236E-2</v>
      </c>
      <c r="Y114" s="366">
        <f>S114-AM99</f>
        <v>-2.9698059999999984</v>
      </c>
    </row>
    <row r="115" spans="1:25">
      <c r="F115" s="327"/>
      <c r="M115" s="327"/>
    </row>
    <row r="117" spans="1:25">
      <c r="A117" s="73" t="s">
        <v>388</v>
      </c>
    </row>
    <row r="119" spans="1:25" ht="38.25">
      <c r="A119" s="328" t="s">
        <v>275</v>
      </c>
      <c r="B119" s="396" t="s">
        <v>389</v>
      </c>
      <c r="C119" s="328" t="s">
        <v>280</v>
      </c>
      <c r="D119" s="329" t="s">
        <v>390</v>
      </c>
      <c r="E119" s="328" t="s">
        <v>391</v>
      </c>
      <c r="F119" s="328" t="s">
        <v>386</v>
      </c>
      <c r="M119" s="330"/>
    </row>
    <row r="120" spans="1:25">
      <c r="A120" s="335" t="s">
        <v>285</v>
      </c>
      <c r="B120" s="336">
        <v>0.86399999999999999</v>
      </c>
      <c r="C120" s="337">
        <f t="shared" ref="C120:C127" si="43">F4</f>
        <v>0.30026430459318521</v>
      </c>
      <c r="D120" s="336">
        <f>'Réserves 2023'!$BJ$14</f>
        <v>0.66989070647903426</v>
      </c>
      <c r="E120" s="337">
        <f>'Réserves 2022'!BI$14</f>
        <v>0.23027359097078365</v>
      </c>
      <c r="F120" s="336">
        <f t="shared" ref="F120:F127" si="44">B105</f>
        <v>0.4464033145224659</v>
      </c>
      <c r="M120" s="397"/>
    </row>
    <row r="121" spans="1:25">
      <c r="A121" s="344" t="s">
        <v>286</v>
      </c>
      <c r="B121" s="345">
        <v>1.0049999999999999</v>
      </c>
      <c r="C121" s="346">
        <f t="shared" si="43"/>
        <v>0.16037735849056603</v>
      </c>
      <c r="D121" s="345">
        <f>'Réserves 2023'!$BJ$16</f>
        <v>0.69056603773584913</v>
      </c>
      <c r="E121" s="346">
        <f>'Réserves 2022'!BI$16</f>
        <v>0.13160377358490566</v>
      </c>
      <c r="F121" s="345">
        <f t="shared" si="44"/>
        <v>0.11745283018867926</v>
      </c>
      <c r="M121" s="397"/>
    </row>
    <row r="122" spans="1:25">
      <c r="A122" s="335" t="s">
        <v>287</v>
      </c>
      <c r="B122" s="336">
        <v>1</v>
      </c>
      <c r="C122" s="337">
        <f t="shared" si="43"/>
        <v>0.6279656739020697</v>
      </c>
      <c r="D122" s="336">
        <f>'Réserves 2023'!$BJ$18</f>
        <v>0.73614861181221614</v>
      </c>
      <c r="E122" s="337">
        <f>'Réserves 2022'!BI$18</f>
        <v>0.40888440181726404</v>
      </c>
      <c r="F122" s="336">
        <f t="shared" si="44"/>
        <v>0.28228167592125192</v>
      </c>
      <c r="M122" s="397"/>
    </row>
    <row r="123" spans="1:25">
      <c r="A123" s="344" t="s">
        <v>288</v>
      </c>
      <c r="B123" s="345">
        <v>0.39300000000000002</v>
      </c>
      <c r="C123" s="346">
        <f t="shared" si="43"/>
        <v>0.27296629866356775</v>
      </c>
      <c r="D123" s="345">
        <f>'Réserves 2023'!$BJ$31</f>
        <v>0.35122748402091813</v>
      </c>
      <c r="E123" s="346">
        <f>'Réserves 2022'!BI$31</f>
        <v>0.25821470075537478</v>
      </c>
      <c r="F123" s="345">
        <f t="shared" si="44"/>
        <v>0.29658505229517729</v>
      </c>
      <c r="M123" s="397"/>
    </row>
    <row r="124" spans="1:25">
      <c r="A124" s="335" t="s">
        <v>289</v>
      </c>
      <c r="B124" s="336">
        <v>1</v>
      </c>
      <c r="C124" s="337">
        <f t="shared" si="43"/>
        <v>0.59756097560975618</v>
      </c>
      <c r="D124" s="336">
        <f>'Réserves 2023'!$BJ$45</f>
        <v>0.98048780487804876</v>
      </c>
      <c r="E124" s="337">
        <f>'Réserves 2022'!BI$45</f>
        <v>0.67439024390243907</v>
      </c>
      <c r="F124" s="336">
        <f t="shared" si="44"/>
        <v>0.78292682926829271</v>
      </c>
      <c r="M124" s="397"/>
    </row>
    <row r="125" spans="1:25">
      <c r="A125" s="344" t="s">
        <v>290</v>
      </c>
      <c r="B125" s="345">
        <v>0.754</v>
      </c>
      <c r="C125" s="346">
        <f t="shared" si="43"/>
        <v>0.31516591089037643</v>
      </c>
      <c r="D125" s="345">
        <f>'Réserves 2023'!$BJ$43</f>
        <v>0.5674368386957459</v>
      </c>
      <c r="E125" s="346">
        <f>'Réserves 2022'!BI$43</f>
        <v>0.25204059598358886</v>
      </c>
      <c r="F125" s="345">
        <f t="shared" si="44"/>
        <v>0.43663715540200104</v>
      </c>
      <c r="M125" s="397"/>
    </row>
    <row r="126" spans="1:25">
      <c r="A126" s="335" t="s">
        <v>291</v>
      </c>
      <c r="B126" s="336">
        <v>0.71899999999999997</v>
      </c>
      <c r="C126" s="337">
        <f t="shared" si="43"/>
        <v>0.39601523135505207</v>
      </c>
      <c r="D126" s="336">
        <f>'Réserves 2023'!$BJ$58</f>
        <v>0.48975295203661673</v>
      </c>
      <c r="E126" s="337">
        <f>'Réserves 2022'!BI$58</f>
        <v>0.34429529340872073</v>
      </c>
      <c r="F126" s="336">
        <f t="shared" si="44"/>
        <v>0.42279997948639025</v>
      </c>
      <c r="M126" s="397"/>
    </row>
    <row r="127" spans="1:25">
      <c r="A127" s="356" t="s">
        <v>292</v>
      </c>
      <c r="B127" s="357">
        <v>0.66100000000000003</v>
      </c>
      <c r="C127" s="358">
        <f t="shared" si="43"/>
        <v>0.31525881955739504</v>
      </c>
      <c r="D127" s="357">
        <f>'Réserves 2023'!$BJ$60</f>
        <v>0.51140797633825819</v>
      </c>
      <c r="E127" s="358">
        <f>'Réserves 2022'!BI$60</f>
        <v>0.27311647682415063</v>
      </c>
      <c r="F127" s="357">
        <f t="shared" si="44"/>
        <v>0.37406903138595521</v>
      </c>
    </row>
    <row r="128" spans="1:25">
      <c r="M128" s="9"/>
    </row>
    <row r="129" spans="1:13">
      <c r="A129" s="356" t="s">
        <v>293</v>
      </c>
      <c r="B129" s="367"/>
      <c r="C129" s="368"/>
      <c r="D129" s="381"/>
      <c r="E129" s="368"/>
      <c r="F129" s="368"/>
      <c r="M129" s="9"/>
    </row>
  </sheetData>
  <mergeCells count="77">
    <mergeCell ref="AP88:AQ88"/>
    <mergeCell ref="AR88:AS88"/>
    <mergeCell ref="R103:S103"/>
    <mergeCell ref="T103:U103"/>
    <mergeCell ref="V103:W103"/>
    <mergeCell ref="X103:Y103"/>
    <mergeCell ref="AD88:AE88"/>
    <mergeCell ref="AF88:AG88"/>
    <mergeCell ref="AH88:AI88"/>
    <mergeCell ref="AL88:AM88"/>
    <mergeCell ref="AN88:AO88"/>
    <mergeCell ref="R88:S88"/>
    <mergeCell ref="T88:U88"/>
    <mergeCell ref="V88:W88"/>
    <mergeCell ref="X88:Y88"/>
    <mergeCell ref="AB88:AC88"/>
    <mergeCell ref="AP60:AQ60"/>
    <mergeCell ref="AR60:AS60"/>
    <mergeCell ref="R74:S74"/>
    <mergeCell ref="T74:U74"/>
    <mergeCell ref="V74:W74"/>
    <mergeCell ref="X74:Y74"/>
    <mergeCell ref="AB74:AC74"/>
    <mergeCell ref="AD74:AE74"/>
    <mergeCell ref="AF74:AG74"/>
    <mergeCell ref="AH74:AI74"/>
    <mergeCell ref="AL74:AM74"/>
    <mergeCell ref="AN74:AO74"/>
    <mergeCell ref="AP74:AQ74"/>
    <mergeCell ref="AR74:AS74"/>
    <mergeCell ref="AD60:AE60"/>
    <mergeCell ref="AF60:AG60"/>
    <mergeCell ref="AH60:AI60"/>
    <mergeCell ref="AL60:AM60"/>
    <mergeCell ref="AN60:AO60"/>
    <mergeCell ref="R60:S60"/>
    <mergeCell ref="T60:U60"/>
    <mergeCell ref="V60:W60"/>
    <mergeCell ref="X60:Y60"/>
    <mergeCell ref="AB60:AC60"/>
    <mergeCell ref="AP46:AQ46"/>
    <mergeCell ref="AR46:AS46"/>
    <mergeCell ref="AB58:AC58"/>
    <mergeCell ref="AD58:AE58"/>
    <mergeCell ref="AF58:AG58"/>
    <mergeCell ref="AH58:AI58"/>
    <mergeCell ref="AD46:AE46"/>
    <mergeCell ref="AF46:AG46"/>
    <mergeCell ref="AH46:AI46"/>
    <mergeCell ref="AL46:AM46"/>
    <mergeCell ref="AN46:AO46"/>
    <mergeCell ref="R46:S46"/>
    <mergeCell ref="T46:U46"/>
    <mergeCell ref="V46:W46"/>
    <mergeCell ref="X46:Y46"/>
    <mergeCell ref="AB46:AC46"/>
    <mergeCell ref="J24:L28"/>
    <mergeCell ref="R32:S32"/>
    <mergeCell ref="T32:U32"/>
    <mergeCell ref="V32:W32"/>
    <mergeCell ref="X32:Y32"/>
    <mergeCell ref="AD2:AE2"/>
    <mergeCell ref="AF2:AG2"/>
    <mergeCell ref="AH2:AI2"/>
    <mergeCell ref="R17:S17"/>
    <mergeCell ref="T17:U17"/>
    <mergeCell ref="V17:W17"/>
    <mergeCell ref="X17:Y17"/>
    <mergeCell ref="AB17:AC17"/>
    <mergeCell ref="AD17:AE17"/>
    <mergeCell ref="AF17:AG17"/>
    <mergeCell ref="AH17:AI17"/>
    <mergeCell ref="R2:S2"/>
    <mergeCell ref="T2:U2"/>
    <mergeCell ref="V2:W2"/>
    <mergeCell ref="X2:Y2"/>
    <mergeCell ref="AB2:AC2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3"/>
  <sheetViews>
    <sheetView zoomScaleNormal="100" workbookViewId="0">
      <selection activeCell="C17" sqref="C17"/>
    </sheetView>
  </sheetViews>
  <sheetFormatPr baseColWidth="10" defaultColWidth="13.28515625" defaultRowHeight="12.75"/>
  <cols>
    <col min="1" max="1" width="22.28515625" customWidth="1"/>
    <col min="3" max="4" width="21" customWidth="1"/>
    <col min="5" max="5" width="25.28515625" customWidth="1"/>
  </cols>
  <sheetData>
    <row r="1" spans="1:5">
      <c r="A1" s="398" t="s">
        <v>20</v>
      </c>
      <c r="B1" s="398" t="s">
        <v>21</v>
      </c>
      <c r="C1" s="398" t="s">
        <v>392</v>
      </c>
      <c r="D1" s="398" t="s">
        <v>393</v>
      </c>
      <c r="E1" s="398" t="s">
        <v>394</v>
      </c>
    </row>
    <row r="2" spans="1:5">
      <c r="A2" s="399" t="s">
        <v>40</v>
      </c>
      <c r="B2" s="400">
        <v>16</v>
      </c>
      <c r="C2" s="33">
        <v>10.095000000000001</v>
      </c>
      <c r="D2" s="34">
        <v>0.85299999999999998</v>
      </c>
      <c r="E2" s="35">
        <v>8.4497275879148098E-2</v>
      </c>
    </row>
    <row r="3" spans="1:5">
      <c r="A3" s="401" t="s">
        <v>43</v>
      </c>
      <c r="B3" s="402">
        <v>22</v>
      </c>
      <c r="C3" s="45">
        <v>3.2</v>
      </c>
      <c r="D3" s="46">
        <v>2.9289999999999998</v>
      </c>
      <c r="E3" s="47">
        <v>0.91531249999999997</v>
      </c>
    </row>
    <row r="4" spans="1:5">
      <c r="A4" s="401" t="s">
        <v>45</v>
      </c>
      <c r="B4" s="402">
        <v>19</v>
      </c>
      <c r="C4" s="45">
        <v>3.5</v>
      </c>
      <c r="D4" s="46">
        <v>0.78200000000000003</v>
      </c>
      <c r="E4" s="47">
        <v>0.223428571428571</v>
      </c>
    </row>
    <row r="5" spans="1:5">
      <c r="A5" s="401" t="s">
        <v>48</v>
      </c>
      <c r="B5" s="402">
        <v>44</v>
      </c>
      <c r="C5" s="45">
        <v>1.85</v>
      </c>
      <c r="D5" s="46">
        <v>0.432</v>
      </c>
      <c r="E5" s="47">
        <v>0.23351351351351299</v>
      </c>
    </row>
    <row r="6" spans="1:5">
      <c r="A6" s="401" t="s">
        <v>50</v>
      </c>
      <c r="B6" s="402">
        <v>49</v>
      </c>
      <c r="C6" s="45">
        <v>20</v>
      </c>
      <c r="D6" s="46">
        <v>2.3069999999999999</v>
      </c>
      <c r="E6" s="47">
        <v>0.11534999999999999</v>
      </c>
    </row>
    <row r="7" spans="1:5">
      <c r="A7" s="401" t="s">
        <v>52</v>
      </c>
      <c r="B7" s="402">
        <v>48</v>
      </c>
      <c r="C7" s="45">
        <v>3.15</v>
      </c>
      <c r="D7" s="46">
        <v>0.78</v>
      </c>
      <c r="E7" s="47">
        <v>0.24761904761904799</v>
      </c>
    </row>
    <row r="8" spans="1:5">
      <c r="A8" s="401" t="s">
        <v>54</v>
      </c>
      <c r="B8" s="402">
        <v>18</v>
      </c>
      <c r="C8" s="45">
        <v>2.5</v>
      </c>
      <c r="D8" s="46">
        <v>0.53900000000000003</v>
      </c>
      <c r="E8" s="47">
        <v>0.21560000000000001</v>
      </c>
    </row>
    <row r="9" spans="1:5">
      <c r="A9" s="401" t="s">
        <v>56</v>
      </c>
      <c r="B9" s="402">
        <v>39</v>
      </c>
      <c r="C9" s="45">
        <v>11.7</v>
      </c>
      <c r="D9" s="46">
        <v>6.0549999999999997</v>
      </c>
      <c r="E9" s="47">
        <v>0.51752136752136801</v>
      </c>
    </row>
    <row r="10" spans="1:5">
      <c r="A10" s="401" t="s">
        <v>57</v>
      </c>
      <c r="B10" s="402">
        <v>17</v>
      </c>
      <c r="C10" s="45">
        <v>5.2</v>
      </c>
      <c r="D10" s="46">
        <v>0.28499999999999998</v>
      </c>
      <c r="E10" s="47">
        <v>5.48076923076923E-2</v>
      </c>
    </row>
    <row r="11" spans="1:5">
      <c r="A11" s="401" t="s">
        <v>58</v>
      </c>
      <c r="B11" s="402">
        <v>26</v>
      </c>
      <c r="C11" s="45">
        <v>5.0999999999999996</v>
      </c>
      <c r="D11" s="46">
        <v>0.77500000000000002</v>
      </c>
      <c r="E11" s="47">
        <v>0.15196078431372601</v>
      </c>
    </row>
    <row r="12" spans="1:5">
      <c r="A12" s="403" t="s">
        <v>60</v>
      </c>
      <c r="B12" s="402">
        <v>62</v>
      </c>
      <c r="C12" s="59">
        <v>1.2</v>
      </c>
      <c r="D12" s="60">
        <v>0.252</v>
      </c>
      <c r="E12" s="61">
        <v>0.21</v>
      </c>
    </row>
    <row r="13" spans="1:5">
      <c r="A13" s="404" t="s">
        <v>62</v>
      </c>
      <c r="B13" s="405">
        <v>21</v>
      </c>
      <c r="C13" s="59">
        <v>2.5</v>
      </c>
      <c r="D13" s="60">
        <v>0.129</v>
      </c>
      <c r="E13" s="61">
        <v>5.16E-2</v>
      </c>
    </row>
    <row r="14" spans="1:5">
      <c r="A14" s="406"/>
      <c r="B14" s="407"/>
      <c r="C14" s="407"/>
      <c r="D14" s="69">
        <v>16.117999999999999</v>
      </c>
      <c r="E14" s="70">
        <v>0.23027359097078401</v>
      </c>
    </row>
    <row r="15" spans="1:5">
      <c r="A15" s="408"/>
      <c r="B15" s="409"/>
      <c r="C15" s="409"/>
      <c r="D15" s="80"/>
      <c r="E15" s="81"/>
    </row>
    <row r="16" spans="1:5" ht="25.5">
      <c r="A16" s="410" t="s">
        <v>66</v>
      </c>
      <c r="B16" s="411">
        <v>1</v>
      </c>
      <c r="C16" s="90">
        <v>21.2</v>
      </c>
      <c r="D16" s="91">
        <v>2.79</v>
      </c>
      <c r="E16" s="92">
        <v>0.13160377358490599</v>
      </c>
    </row>
    <row r="17" spans="1:5">
      <c r="A17" s="412"/>
      <c r="B17" s="413"/>
      <c r="C17" s="413"/>
      <c r="D17" s="80"/>
      <c r="E17" s="81"/>
    </row>
    <row r="18" spans="1:5">
      <c r="A18" s="401" t="s">
        <v>69</v>
      </c>
      <c r="B18" s="402">
        <v>2</v>
      </c>
      <c r="C18" s="100">
        <v>4.9524999999999997</v>
      </c>
      <c r="D18" s="91">
        <v>2.0249999999999999</v>
      </c>
      <c r="E18" s="92">
        <v>0.40888440181726399</v>
      </c>
    </row>
    <row r="19" spans="1:5">
      <c r="A19" s="414"/>
      <c r="B19" s="415"/>
      <c r="C19" s="415"/>
      <c r="D19" s="80"/>
      <c r="E19" s="81"/>
    </row>
    <row r="20" spans="1:5">
      <c r="A20" s="401" t="s">
        <v>73</v>
      </c>
      <c r="B20" s="402">
        <v>9</v>
      </c>
      <c r="C20" s="111">
        <v>2</v>
      </c>
      <c r="D20" s="112">
        <v>0.72</v>
      </c>
      <c r="E20" s="113">
        <v>0.36</v>
      </c>
    </row>
    <row r="21" spans="1:5">
      <c r="A21" s="401" t="s">
        <v>76</v>
      </c>
      <c r="B21" s="402">
        <v>23</v>
      </c>
      <c r="C21" s="116">
        <v>3.41</v>
      </c>
      <c r="D21" s="46">
        <v>1.256</v>
      </c>
      <c r="E21" s="47">
        <v>0.36832844574780099</v>
      </c>
    </row>
    <row r="22" spans="1:5">
      <c r="A22" s="401" t="s">
        <v>78</v>
      </c>
      <c r="B22" s="402">
        <v>13</v>
      </c>
      <c r="C22" s="116">
        <v>2.1</v>
      </c>
      <c r="D22" s="46">
        <v>0.58699999999999997</v>
      </c>
      <c r="E22" s="47">
        <v>0.27952380952380901</v>
      </c>
    </row>
    <row r="23" spans="1:5">
      <c r="A23" s="401" t="s">
        <v>81</v>
      </c>
      <c r="B23" s="402">
        <v>14</v>
      </c>
      <c r="C23" s="116">
        <v>4.93</v>
      </c>
      <c r="D23" s="46">
        <v>0.66</v>
      </c>
      <c r="E23" s="47">
        <v>0.133874239350913</v>
      </c>
    </row>
    <row r="24" spans="1:5">
      <c r="A24" s="401" t="s">
        <v>84</v>
      </c>
      <c r="B24" s="402">
        <v>42</v>
      </c>
      <c r="C24" s="116">
        <v>44.6</v>
      </c>
      <c r="D24" s="46">
        <v>17.276</v>
      </c>
      <c r="E24" s="47">
        <v>0.38735426008968599</v>
      </c>
    </row>
    <row r="25" spans="1:5">
      <c r="A25" s="401" t="s">
        <v>87</v>
      </c>
      <c r="B25" s="402">
        <v>30</v>
      </c>
      <c r="C25" s="116">
        <v>4.0999999999999996</v>
      </c>
      <c r="D25" s="46">
        <v>1.081</v>
      </c>
      <c r="E25" s="47">
        <v>0.26365853658536598</v>
      </c>
    </row>
    <row r="26" spans="1:5">
      <c r="A26" s="401" t="s">
        <v>88</v>
      </c>
      <c r="B26" s="402">
        <v>11</v>
      </c>
      <c r="C26" s="116">
        <v>1.87</v>
      </c>
      <c r="D26" s="46">
        <v>0.71</v>
      </c>
      <c r="E26" s="47">
        <v>0.37967914438502698</v>
      </c>
    </row>
    <row r="27" spans="1:5">
      <c r="A27" s="401" t="s">
        <v>89</v>
      </c>
      <c r="B27" s="402">
        <v>24</v>
      </c>
      <c r="C27" s="116">
        <v>8</v>
      </c>
      <c r="D27" s="46">
        <v>1.452</v>
      </c>
      <c r="E27" s="47">
        <v>0.18149999999999999</v>
      </c>
    </row>
    <row r="28" spans="1:5">
      <c r="A28" s="401" t="s">
        <v>90</v>
      </c>
      <c r="B28" s="402">
        <v>12</v>
      </c>
      <c r="C28" s="116">
        <v>4</v>
      </c>
      <c r="D28" s="46">
        <v>1.0249999999999999</v>
      </c>
      <c r="E28" s="47">
        <v>0.25624999999999998</v>
      </c>
    </row>
    <row r="29" spans="1:5">
      <c r="A29" s="401" t="s">
        <v>93</v>
      </c>
      <c r="B29" s="402">
        <v>38</v>
      </c>
      <c r="C29" s="116">
        <v>60.57</v>
      </c>
      <c r="D29" s="120">
        <v>10.56</v>
      </c>
      <c r="E29" s="47">
        <v>0.17434373452204099</v>
      </c>
    </row>
    <row r="30" spans="1:5">
      <c r="A30" s="401" t="s">
        <v>96</v>
      </c>
      <c r="B30" s="402">
        <v>34</v>
      </c>
      <c r="C30" s="116">
        <v>2.1</v>
      </c>
      <c r="D30" s="46">
        <v>0.224</v>
      </c>
      <c r="E30" s="47">
        <v>0.10666666666666701</v>
      </c>
    </row>
    <row r="31" spans="1:5">
      <c r="A31" s="416"/>
      <c r="B31" s="416"/>
      <c r="C31" s="416"/>
      <c r="D31" s="69">
        <v>35.551000000000002</v>
      </c>
      <c r="E31" s="70">
        <v>0.258214700755375</v>
      </c>
    </row>
    <row r="32" spans="1:5">
      <c r="A32" s="414"/>
      <c r="B32" s="415"/>
      <c r="C32" s="415"/>
      <c r="D32" s="80"/>
      <c r="E32" s="81"/>
    </row>
    <row r="33" spans="1:5">
      <c r="A33" s="401" t="s">
        <v>99</v>
      </c>
      <c r="B33" s="402">
        <v>28</v>
      </c>
      <c r="C33" s="45">
        <v>10</v>
      </c>
      <c r="D33" s="112">
        <v>1.3220000000000001</v>
      </c>
      <c r="E33" s="113">
        <v>0.13220000000000001</v>
      </c>
    </row>
    <row r="34" spans="1:5">
      <c r="A34" s="401" t="s">
        <v>101</v>
      </c>
      <c r="B34" s="402">
        <v>43</v>
      </c>
      <c r="C34" s="45">
        <v>2.2999999999999998</v>
      </c>
      <c r="D34" s="46">
        <v>0.44400000000000001</v>
      </c>
      <c r="E34" s="47">
        <v>0.19304347826087001</v>
      </c>
    </row>
    <row r="35" spans="1:5">
      <c r="A35" s="401" t="s">
        <v>103</v>
      </c>
      <c r="B35" s="402">
        <v>47</v>
      </c>
      <c r="C35" s="45">
        <v>3.4</v>
      </c>
      <c r="D35" s="46">
        <v>3.4</v>
      </c>
      <c r="E35" s="47">
        <v>1</v>
      </c>
    </row>
    <row r="36" spans="1:5">
      <c r="A36" s="401" t="s">
        <v>105</v>
      </c>
      <c r="B36" s="402">
        <v>27</v>
      </c>
      <c r="C36" s="45">
        <v>24</v>
      </c>
      <c r="D36" s="46">
        <v>5.4420000000000002</v>
      </c>
      <c r="E36" s="47">
        <v>0.22675000000000001</v>
      </c>
    </row>
    <row r="37" spans="1:5" ht="25.5">
      <c r="A37" s="401" t="s">
        <v>107</v>
      </c>
      <c r="B37" s="402">
        <v>32</v>
      </c>
      <c r="C37" s="45">
        <v>2.5</v>
      </c>
      <c r="D37" s="46">
        <v>0.36</v>
      </c>
      <c r="E37" s="47">
        <v>0.14399999999999999</v>
      </c>
    </row>
    <row r="38" spans="1:5">
      <c r="A38" s="401" t="s">
        <v>109</v>
      </c>
      <c r="B38" s="402">
        <v>25</v>
      </c>
      <c r="C38" s="45">
        <v>3.72</v>
      </c>
      <c r="D38" s="46">
        <v>0.76500000000000001</v>
      </c>
      <c r="E38" s="47">
        <v>0.20564516129032301</v>
      </c>
    </row>
    <row r="39" spans="1:5">
      <c r="A39" s="401" t="s">
        <v>110</v>
      </c>
      <c r="B39" s="402">
        <v>29</v>
      </c>
      <c r="C39" s="45">
        <v>14</v>
      </c>
      <c r="D39" s="46">
        <v>3.16</v>
      </c>
      <c r="E39" s="47">
        <v>0.22571428571428601</v>
      </c>
    </row>
    <row r="40" spans="1:5">
      <c r="A40" s="401" t="s">
        <v>112</v>
      </c>
      <c r="B40" s="402">
        <v>15</v>
      </c>
      <c r="C40" s="45">
        <v>2.9249999999999998</v>
      </c>
      <c r="D40" s="46">
        <v>1.3260000000000001</v>
      </c>
      <c r="E40" s="47">
        <v>0.45333333333333298</v>
      </c>
    </row>
    <row r="41" spans="1:5">
      <c r="A41" s="401" t="s">
        <v>114</v>
      </c>
      <c r="B41" s="402">
        <v>46</v>
      </c>
      <c r="C41" s="45">
        <v>1.67</v>
      </c>
      <c r="D41" s="46">
        <v>0.17599999999999999</v>
      </c>
      <c r="E41" s="47">
        <v>0.105389221556886</v>
      </c>
    </row>
    <row r="42" spans="1:5">
      <c r="A42" s="403" t="s">
        <v>116</v>
      </c>
      <c r="B42" s="402">
        <v>52</v>
      </c>
      <c r="C42" s="45">
        <v>4.95</v>
      </c>
      <c r="D42" s="46">
        <v>1.113</v>
      </c>
      <c r="E42" s="47">
        <v>0.22484848484848499</v>
      </c>
    </row>
    <row r="43" spans="1:5">
      <c r="A43" s="416"/>
      <c r="B43" s="416"/>
      <c r="C43" s="416"/>
      <c r="D43" s="69">
        <v>17.507999999999999</v>
      </c>
      <c r="E43" s="70">
        <v>0.25204059598358902</v>
      </c>
    </row>
    <row r="44" spans="1:5">
      <c r="A44" s="414"/>
      <c r="B44" s="415"/>
      <c r="C44" s="415"/>
      <c r="D44" s="80"/>
      <c r="E44" s="81"/>
    </row>
    <row r="45" spans="1:5">
      <c r="A45" s="401" t="s">
        <v>121</v>
      </c>
      <c r="B45" s="402">
        <v>3</v>
      </c>
      <c r="C45" s="134">
        <v>8.1999999999999993</v>
      </c>
      <c r="D45" s="135">
        <v>5.53</v>
      </c>
      <c r="E45" s="92">
        <v>0.67439024390243896</v>
      </c>
    </row>
    <row r="46" spans="1:5">
      <c r="A46" s="414"/>
      <c r="B46" s="415"/>
      <c r="C46" s="415"/>
      <c r="D46" s="80"/>
      <c r="E46" s="81"/>
    </row>
    <row r="47" spans="1:5">
      <c r="A47" s="401" t="s">
        <v>125</v>
      </c>
      <c r="B47" s="402">
        <v>10</v>
      </c>
      <c r="C47" s="139">
        <v>10.9</v>
      </c>
      <c r="D47" s="46">
        <v>3.879</v>
      </c>
      <c r="E47" s="47">
        <v>0.35587155963302802</v>
      </c>
    </row>
    <row r="48" spans="1:5">
      <c r="A48" s="401" t="s">
        <v>129</v>
      </c>
      <c r="B48" s="402">
        <v>8</v>
      </c>
      <c r="C48" s="45">
        <v>18.8</v>
      </c>
      <c r="D48" s="46">
        <v>7.68</v>
      </c>
      <c r="E48" s="47">
        <v>0.40851063829787199</v>
      </c>
    </row>
    <row r="49" spans="1:5">
      <c r="A49" s="401" t="s">
        <v>132</v>
      </c>
      <c r="B49" s="402">
        <v>35</v>
      </c>
      <c r="C49" s="45">
        <v>7.8</v>
      </c>
      <c r="D49" s="46">
        <v>4.1870000000000003</v>
      </c>
      <c r="E49" s="47">
        <v>0.53679487179487195</v>
      </c>
    </row>
    <row r="50" spans="1:5">
      <c r="A50" s="401" t="s">
        <v>134</v>
      </c>
      <c r="B50" s="402">
        <v>6</v>
      </c>
      <c r="C50" s="45">
        <v>3.4</v>
      </c>
      <c r="D50" s="46">
        <v>0.64600000000000002</v>
      </c>
      <c r="E50" s="47">
        <v>0.19</v>
      </c>
    </row>
    <row r="51" spans="1:5">
      <c r="A51" s="401" t="s">
        <v>136</v>
      </c>
      <c r="B51" s="402">
        <v>7</v>
      </c>
      <c r="C51" s="139">
        <v>11.35</v>
      </c>
      <c r="D51" s="46">
        <v>6.5540000000000003</v>
      </c>
      <c r="E51" s="47">
        <v>0.57744493392070495</v>
      </c>
    </row>
    <row r="52" spans="1:5">
      <c r="A52" s="401" t="s">
        <v>139</v>
      </c>
      <c r="B52" s="402">
        <v>33</v>
      </c>
      <c r="C52" s="45">
        <v>4.968</v>
      </c>
      <c r="D52" s="46">
        <v>1.331</v>
      </c>
      <c r="E52" s="47">
        <v>0.26791465378421903</v>
      </c>
    </row>
    <row r="53" spans="1:5">
      <c r="A53" s="401" t="s">
        <v>142</v>
      </c>
      <c r="B53" s="402">
        <v>4</v>
      </c>
      <c r="C53" s="45">
        <v>15</v>
      </c>
      <c r="D53" s="46">
        <v>1.3740000000000001</v>
      </c>
      <c r="E53" s="47">
        <v>9.1600000000000001E-2</v>
      </c>
    </row>
    <row r="54" spans="1:5">
      <c r="A54" s="401" t="s">
        <v>144</v>
      </c>
      <c r="B54" s="402">
        <v>5</v>
      </c>
      <c r="C54" s="45">
        <v>3.2</v>
      </c>
      <c r="D54" s="46">
        <v>1.0580000000000001</v>
      </c>
      <c r="E54" s="47">
        <v>0.330625</v>
      </c>
    </row>
    <row r="55" spans="1:5">
      <c r="A55" s="403" t="s">
        <v>145</v>
      </c>
      <c r="B55" s="402">
        <v>54</v>
      </c>
      <c r="C55" s="45">
        <v>1.1579999999999999</v>
      </c>
      <c r="D55" s="46">
        <v>7.4999999999999997E-2</v>
      </c>
      <c r="E55" s="47">
        <v>6.4766839378238406E-2</v>
      </c>
    </row>
    <row r="56" spans="1:5">
      <c r="A56" s="403" t="s">
        <v>149</v>
      </c>
      <c r="B56" s="402">
        <v>51</v>
      </c>
      <c r="C56" s="45">
        <v>0.78</v>
      </c>
      <c r="D56" s="46">
        <v>0.03</v>
      </c>
      <c r="E56" s="47">
        <v>3.8461538461538498E-2</v>
      </c>
    </row>
    <row r="57" spans="1:5">
      <c r="A57" s="403" t="s">
        <v>151</v>
      </c>
      <c r="B57" s="402">
        <v>53</v>
      </c>
      <c r="C57" s="45">
        <v>0.64100000000000001</v>
      </c>
      <c r="D57" s="46">
        <v>0.04</v>
      </c>
      <c r="E57" s="47">
        <v>6.2402496099844003E-2</v>
      </c>
    </row>
    <row r="58" spans="1:5">
      <c r="A58" s="416"/>
      <c r="B58" s="416"/>
      <c r="C58" s="416"/>
      <c r="D58" s="69">
        <v>26.853999999999999</v>
      </c>
      <c r="E58" s="47">
        <v>0.344295293408721</v>
      </c>
    </row>
    <row r="59" spans="1:5">
      <c r="A59" s="417"/>
      <c r="B59" s="418"/>
      <c r="C59" s="418"/>
      <c r="D59" s="80"/>
      <c r="E59" s="81"/>
    </row>
    <row r="60" spans="1:5">
      <c r="A60" s="419"/>
      <c r="B60" s="420"/>
      <c r="C60" s="420"/>
      <c r="D60" s="91">
        <v>106.376</v>
      </c>
      <c r="E60" s="92">
        <v>0.27311647682415102</v>
      </c>
    </row>
    <row r="61" spans="1:5">
      <c r="A61" s="421"/>
      <c r="B61" s="422"/>
      <c r="C61" s="422"/>
      <c r="D61" s="156">
        <v>-264.21100000000001</v>
      </c>
      <c r="E61" s="156"/>
    </row>
    <row r="62" spans="1:5">
      <c r="A62" s="423"/>
      <c r="B62" s="424"/>
      <c r="C62" s="424"/>
      <c r="D62" s="159">
        <v>-11.505000000000001</v>
      </c>
      <c r="E62" s="159"/>
    </row>
    <row r="63" spans="1:5">
      <c r="A63" s="425" t="s">
        <v>20</v>
      </c>
      <c r="B63" s="425" t="s">
        <v>21</v>
      </c>
      <c r="C63" s="425"/>
      <c r="D63" s="170"/>
      <c r="E63" s="171">
        <v>44896</v>
      </c>
    </row>
    <row r="64" spans="1:5">
      <c r="A64" s="426" t="s">
        <v>174</v>
      </c>
      <c r="B64" s="427">
        <v>50</v>
      </c>
      <c r="C64" s="178">
        <v>1.1000000000000001</v>
      </c>
      <c r="D64" s="179"/>
      <c r="E64" s="184"/>
    </row>
    <row r="65" spans="1:5">
      <c r="A65" s="428" t="s">
        <v>179</v>
      </c>
      <c r="B65" s="427">
        <v>37</v>
      </c>
      <c r="C65" s="178">
        <f>MAX(suivi_droits_acquis_Entraygues!$B2:$O2, )</f>
        <v>32.954999999999998</v>
      </c>
      <c r="D65" s="179"/>
      <c r="E65" s="184"/>
    </row>
    <row r="66" spans="1:5">
      <c r="A66" s="429" t="s">
        <v>184</v>
      </c>
      <c r="B66" s="430">
        <v>40</v>
      </c>
      <c r="C66" s="203">
        <f>2.5+20</f>
        <v>22.5</v>
      </c>
      <c r="D66" s="205"/>
      <c r="E66" s="206"/>
    </row>
    <row r="67" spans="1:5">
      <c r="A67" s="429" t="s">
        <v>188</v>
      </c>
      <c r="B67" s="430">
        <v>60</v>
      </c>
      <c r="C67" s="203">
        <v>5</v>
      </c>
      <c r="D67" s="205"/>
      <c r="E67" s="206"/>
    </row>
    <row r="68" spans="1:5">
      <c r="A68" s="431" t="s">
        <v>191</v>
      </c>
      <c r="B68" s="430">
        <v>61</v>
      </c>
      <c r="C68" s="210">
        <v>2.8</v>
      </c>
      <c r="D68" s="215"/>
      <c r="E68" s="218"/>
    </row>
    <row r="69" spans="1:5" ht="25.5">
      <c r="A69" s="429" t="s">
        <v>196</v>
      </c>
      <c r="B69" s="430">
        <v>36</v>
      </c>
      <c r="C69" s="203">
        <v>48</v>
      </c>
      <c r="D69" s="181">
        <v>8.9049999999999994</v>
      </c>
      <c r="E69" s="223">
        <v>0.185520833333333</v>
      </c>
    </row>
    <row r="70" spans="1:5">
      <c r="A70" s="429" t="s">
        <v>198</v>
      </c>
      <c r="B70" s="430">
        <v>41</v>
      </c>
      <c r="C70" s="203">
        <v>53</v>
      </c>
      <c r="D70" s="205"/>
      <c r="E70" s="206"/>
    </row>
    <row r="71" spans="1:5">
      <c r="A71" s="432" t="s">
        <v>202</v>
      </c>
      <c r="B71" s="433">
        <v>45</v>
      </c>
      <c r="C71" s="232">
        <v>8.39</v>
      </c>
      <c r="D71" s="235"/>
      <c r="E71" s="236"/>
    </row>
    <row r="72" spans="1:5">
      <c r="A72" s="434"/>
      <c r="B72" s="434"/>
      <c r="C72" s="434"/>
      <c r="D72" s="246"/>
      <c r="E72" s="247"/>
    </row>
    <row r="73" spans="1:5">
      <c r="A73" s="435"/>
      <c r="B73" s="436"/>
      <c r="C73" s="436"/>
      <c r="D73" s="254"/>
      <c r="E73" s="255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38"/>
  </sheetPr>
  <dimension ref="A1:BN122"/>
  <sheetViews>
    <sheetView topLeftCell="AR58" zoomScaleNormal="100" workbookViewId="0"/>
  </sheetViews>
  <sheetFormatPr baseColWidth="10" defaultColWidth="13.42578125" defaultRowHeight="12.75"/>
  <cols>
    <col min="1" max="1" width="18.42578125" customWidth="1"/>
    <col min="2" max="2" width="30.42578125" customWidth="1"/>
    <col min="3" max="3" width="9.28515625" style="9" customWidth="1"/>
    <col min="4" max="4" width="17.42578125" customWidth="1"/>
    <col min="5" max="10" width="12" hidden="1" customWidth="1"/>
    <col min="11" max="11" width="12.7109375" style="10" hidden="1" customWidth="1"/>
    <col min="12" max="12" width="8.85546875" style="10" hidden="1" customWidth="1"/>
    <col min="13" max="13" width="14.28515625" hidden="1" customWidth="1"/>
    <col min="14" max="14" width="12" hidden="1" customWidth="1"/>
    <col min="15" max="15" width="11.85546875" hidden="1" customWidth="1"/>
    <col min="16" max="16" width="16.140625" hidden="1" customWidth="1"/>
    <col min="17" max="17" width="14.140625" customWidth="1"/>
    <col min="18" max="18" width="8.85546875" customWidth="1"/>
    <col min="20" max="20" width="8.85546875" customWidth="1"/>
    <col min="22" max="22" width="8.85546875" customWidth="1"/>
    <col min="24" max="24" width="9" customWidth="1"/>
    <col min="25" max="25" width="10.7109375" customWidth="1"/>
    <col min="26" max="26" width="8.7109375" customWidth="1"/>
    <col min="27" max="27" width="10.7109375" customWidth="1"/>
    <col min="28" max="28" width="8.7109375" customWidth="1"/>
    <col min="29" max="29" width="10.7109375" customWidth="1"/>
    <col min="30" max="30" width="8.7109375" customWidth="1"/>
    <col min="31" max="31" width="10.7109375" customWidth="1"/>
    <col min="32" max="32" width="8.7109375" customWidth="1"/>
    <col min="33" max="33" width="10.7109375" customWidth="1"/>
    <col min="34" max="34" width="8.140625" customWidth="1"/>
    <col min="35" max="35" width="10.7109375" customWidth="1"/>
    <col min="36" max="36" width="8.140625" customWidth="1"/>
    <col min="38" max="38" width="8.140625" customWidth="1"/>
    <col min="39" max="39" width="13.5703125" customWidth="1"/>
    <col min="40" max="40" width="9.42578125" customWidth="1"/>
    <col min="41" max="41" width="10.28515625" customWidth="1"/>
    <col min="42" max="42" width="7.42578125" customWidth="1"/>
    <col min="43" max="43" width="11" customWidth="1"/>
    <col min="44" max="44" width="7.42578125" customWidth="1"/>
    <col min="45" max="45" width="11" customWidth="1"/>
    <col min="46" max="46" width="7.42578125" customWidth="1"/>
    <col min="47" max="47" width="10.85546875" customWidth="1"/>
    <col min="48" max="48" width="7.42578125" customWidth="1"/>
    <col min="49" max="49" width="10.85546875" customWidth="1"/>
    <col min="50" max="50" width="7.85546875" customWidth="1"/>
    <col min="51" max="51" width="10.85546875" customWidth="1"/>
    <col min="52" max="52" width="7.42578125" customWidth="1"/>
    <col min="53" max="53" width="10.85546875" customWidth="1"/>
    <col min="54" max="54" width="9.140625" customWidth="1"/>
    <col min="55" max="55" width="10.28515625" customWidth="1"/>
    <col min="56" max="56" width="7.85546875" customWidth="1"/>
    <col min="57" max="57" width="10.28515625" customWidth="1"/>
    <col min="58" max="58" width="9.85546875" customWidth="1"/>
    <col min="59" max="59" width="10.28515625" customWidth="1"/>
    <col min="60" max="60" width="7.42578125" customWidth="1"/>
    <col min="61" max="61" width="10.28515625" customWidth="1"/>
    <col min="62" max="62" width="56.140625" style="11" customWidth="1"/>
    <col min="63" max="63" width="42" style="12" customWidth="1"/>
    <col min="1024" max="1024" width="9.140625" customWidth="1"/>
  </cols>
  <sheetData>
    <row r="1" spans="1:66" s="24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1"/>
      <c r="S1" s="22">
        <v>44562</v>
      </c>
      <c r="T1" s="21"/>
      <c r="U1" s="22">
        <v>44593</v>
      </c>
      <c r="V1" s="21"/>
      <c r="W1" s="22">
        <v>44621</v>
      </c>
      <c r="X1" s="21"/>
      <c r="Y1" s="22">
        <v>44652</v>
      </c>
      <c r="Z1" s="21"/>
      <c r="AA1" s="22">
        <v>44682</v>
      </c>
      <c r="AB1" s="21"/>
      <c r="AC1" s="22">
        <v>44713</v>
      </c>
      <c r="AD1" s="21"/>
      <c r="AE1" s="22">
        <v>44722</v>
      </c>
      <c r="AF1" s="21"/>
      <c r="AG1" s="22">
        <v>44732</v>
      </c>
      <c r="AH1" s="21"/>
      <c r="AI1" s="22">
        <v>44743</v>
      </c>
      <c r="AJ1" s="21"/>
      <c r="AK1" s="22">
        <v>44752</v>
      </c>
      <c r="AL1" s="21"/>
      <c r="AM1" s="22">
        <v>44762</v>
      </c>
      <c r="AN1" s="21"/>
      <c r="AO1" s="22">
        <v>44774</v>
      </c>
      <c r="AP1" s="21"/>
      <c r="AQ1" s="22">
        <v>44783</v>
      </c>
      <c r="AR1" s="21"/>
      <c r="AS1" s="22">
        <v>44793</v>
      </c>
      <c r="AT1" s="21"/>
      <c r="AU1" s="22">
        <v>44805</v>
      </c>
      <c r="AV1" s="21"/>
      <c r="AW1" s="22">
        <v>44814</v>
      </c>
      <c r="AX1" s="21"/>
      <c r="AY1" s="22">
        <v>44824</v>
      </c>
      <c r="AZ1" s="21"/>
      <c r="BA1" s="22">
        <v>44835</v>
      </c>
      <c r="BB1" s="21"/>
      <c r="BC1" s="22">
        <v>44844</v>
      </c>
      <c r="BD1" s="21"/>
      <c r="BE1" s="22">
        <v>44854</v>
      </c>
      <c r="BF1" s="21"/>
      <c r="BG1" s="22">
        <v>44866</v>
      </c>
      <c r="BH1" s="21"/>
      <c r="BI1" s="22">
        <v>44896</v>
      </c>
      <c r="BJ1" s="23" t="s">
        <v>37</v>
      </c>
      <c r="BK1" s="23" t="s">
        <v>38</v>
      </c>
    </row>
    <row r="2" spans="1:66">
      <c r="A2" s="25" t="s">
        <v>39</v>
      </c>
      <c r="B2" s="26" t="s">
        <v>40</v>
      </c>
      <c r="C2" s="27">
        <v>16</v>
      </c>
      <c r="D2" s="28" t="s">
        <v>41</v>
      </c>
      <c r="E2" s="29">
        <v>10.095000000000001</v>
      </c>
      <c r="F2" s="30">
        <v>10.095000000000001</v>
      </c>
      <c r="G2" s="30">
        <v>10.095000000000001</v>
      </c>
      <c r="H2" s="30">
        <v>10.095000000000001</v>
      </c>
      <c r="I2" s="30">
        <v>10.095000000000001</v>
      </c>
      <c r="J2" s="30">
        <v>10.095000000000001</v>
      </c>
      <c r="K2" s="30">
        <v>10.095000000000001</v>
      </c>
      <c r="L2" s="31">
        <v>10.095000000000001</v>
      </c>
      <c r="M2" s="32">
        <v>10.095000000000001</v>
      </c>
      <c r="N2" s="32">
        <v>10.095000000000001</v>
      </c>
      <c r="O2" s="33">
        <v>10.095000000000001</v>
      </c>
      <c r="P2" s="33">
        <v>10.095000000000001</v>
      </c>
      <c r="Q2" s="33">
        <v>10.095000000000001</v>
      </c>
      <c r="R2" s="34">
        <v>10.095000000000001</v>
      </c>
      <c r="S2" s="35">
        <f t="shared" ref="S2:S14" si="0">R2/$Q2</f>
        <v>1</v>
      </c>
      <c r="T2" s="34">
        <v>10.095000000000001</v>
      </c>
      <c r="U2" s="35">
        <f t="shared" ref="U2:U14" si="1">T2/$Q2</f>
        <v>1</v>
      </c>
      <c r="V2" s="34">
        <v>10.095000000000001</v>
      </c>
      <c r="W2" s="35">
        <f t="shared" ref="W2:W14" si="2">V2/$Q2</f>
        <v>1</v>
      </c>
      <c r="X2" s="34">
        <v>10.095000000000001</v>
      </c>
      <c r="Y2" s="35">
        <f t="shared" ref="Y2:Y14" si="3">X2/$Q2</f>
        <v>1</v>
      </c>
      <c r="Z2" s="34">
        <v>10.095000000000001</v>
      </c>
      <c r="AA2" s="35">
        <f t="shared" ref="AA2:AA14" si="4">Z2/$Q2</f>
        <v>1</v>
      </c>
      <c r="AB2" s="34">
        <v>10.041</v>
      </c>
      <c r="AC2" s="35">
        <f t="shared" ref="AC2:AC14" si="5">AB2/$Q2</f>
        <v>0.99465081723625559</v>
      </c>
      <c r="AD2" s="34">
        <v>9.9760000000000009</v>
      </c>
      <c r="AE2" s="35">
        <f t="shared" ref="AE2:AE14" si="6">AD2/$Q2</f>
        <v>0.98821198613174843</v>
      </c>
      <c r="AF2" s="34">
        <v>9.8000000000000007</v>
      </c>
      <c r="AG2" s="35">
        <f t="shared" ref="AG2:AG14" si="7">AF2/$Q2</f>
        <v>0.97077761267954432</v>
      </c>
      <c r="AH2" s="34">
        <v>8.5239999999999991</v>
      </c>
      <c r="AI2" s="35">
        <f t="shared" ref="AI2:AI14" si="8">AH2/$Q2</f>
        <v>0.84437840515106477</v>
      </c>
      <c r="AJ2" s="34">
        <v>7.8120000000000003</v>
      </c>
      <c r="AK2" s="35">
        <f t="shared" ref="AK2:AK14" si="9">AJ2/$Q2</f>
        <v>0.77384843982169393</v>
      </c>
      <c r="AL2" s="34">
        <v>6.19</v>
      </c>
      <c r="AM2" s="35">
        <f t="shared" ref="AM2:AM14" si="10">AL2/$Q2</f>
        <v>0.61317483902922243</v>
      </c>
      <c r="AN2" s="34">
        <v>3.7919999999999998</v>
      </c>
      <c r="AO2" s="35">
        <f t="shared" ref="AO2:AO14" si="11">AN2/$Q2</f>
        <v>0.37563150074294199</v>
      </c>
      <c r="AP2" s="34">
        <v>2.714</v>
      </c>
      <c r="AQ2" s="35">
        <f t="shared" ref="AQ2:AQ14" si="12">AP2/$Q2</f>
        <v>0.26884596334819216</v>
      </c>
      <c r="AR2" s="34">
        <v>1.1579999999999999</v>
      </c>
      <c r="AS2" s="35">
        <f t="shared" ref="AS2:AS14" si="13">AR2/$Q2</f>
        <v>0.11471025260029716</v>
      </c>
      <c r="AT2" s="34">
        <v>0.91</v>
      </c>
      <c r="AU2" s="35">
        <f t="shared" ref="AU2:AU14" si="14">AT2/$Q2</f>
        <v>9.0143635463100544E-2</v>
      </c>
      <c r="AV2" s="34">
        <v>0.85299999999999998</v>
      </c>
      <c r="AW2" s="35">
        <f t="shared" ref="AW2:AW14" si="15">AV2/$Q2</f>
        <v>8.4497275879148084E-2</v>
      </c>
      <c r="AX2" s="34">
        <v>0.76500000000000001</v>
      </c>
      <c r="AY2" s="35">
        <f t="shared" ref="AY2:AY14" si="16">AX2/$Q2</f>
        <v>7.5780089153046057E-2</v>
      </c>
      <c r="AZ2" s="34">
        <v>0.73899999999999999</v>
      </c>
      <c r="BA2" s="35">
        <f t="shared" ref="BA2:BA14" si="17">AZ2/$Q2</f>
        <v>7.3204556711243179E-2</v>
      </c>
      <c r="BB2" s="34">
        <v>0.72099999999999997</v>
      </c>
      <c r="BC2" s="35">
        <f t="shared" ref="BC2:BC14" si="18">BB2/$Q2</f>
        <v>7.1421495789995043E-2</v>
      </c>
      <c r="BD2" s="34">
        <v>0.69399999999999995</v>
      </c>
      <c r="BE2" s="35">
        <f t="shared" ref="BE2:BE14" si="19">BD2/$Q2</f>
        <v>6.8746904408122825E-2</v>
      </c>
      <c r="BF2" s="34">
        <v>0.64</v>
      </c>
      <c r="BG2" s="35">
        <f t="shared" ref="BG2:BG14" si="20">BF2/$Q2</f>
        <v>6.3397721644378402E-2</v>
      </c>
      <c r="BH2" s="34">
        <v>0.85299999999999998</v>
      </c>
      <c r="BI2" s="35">
        <f t="shared" ref="BI2:BI14" si="21">BH2/$Q2</f>
        <v>8.4497275879148084E-2</v>
      </c>
      <c r="BJ2" s="36" t="s">
        <v>42</v>
      </c>
    </row>
    <row r="3" spans="1:66">
      <c r="A3" s="37" t="s">
        <v>39</v>
      </c>
      <c r="B3" s="38" t="s">
        <v>43</v>
      </c>
      <c r="C3" s="39">
        <v>22</v>
      </c>
      <c r="D3" s="40" t="s">
        <v>44</v>
      </c>
      <c r="E3" s="41">
        <v>3.2</v>
      </c>
      <c r="F3" s="42">
        <v>3.2</v>
      </c>
      <c r="G3" s="42">
        <v>3.2</v>
      </c>
      <c r="H3" s="42">
        <v>3.2</v>
      </c>
      <c r="I3" s="42">
        <v>3.2</v>
      </c>
      <c r="J3" s="42">
        <v>3.2</v>
      </c>
      <c r="K3" s="42">
        <v>3.2</v>
      </c>
      <c r="L3" s="43">
        <v>3.2</v>
      </c>
      <c r="M3" s="44">
        <v>3.2</v>
      </c>
      <c r="N3" s="44">
        <v>3.2</v>
      </c>
      <c r="O3" s="45">
        <v>3.2</v>
      </c>
      <c r="P3" s="45">
        <v>3.2</v>
      </c>
      <c r="Q3" s="45">
        <v>3.2</v>
      </c>
      <c r="R3" s="46">
        <v>3.2</v>
      </c>
      <c r="S3" s="47">
        <f t="shared" si="0"/>
        <v>1</v>
      </c>
      <c r="T3" s="46">
        <v>3.2</v>
      </c>
      <c r="U3" s="47">
        <f t="shared" si="1"/>
        <v>1</v>
      </c>
      <c r="V3" s="46">
        <v>3.2</v>
      </c>
      <c r="W3" s="47">
        <f t="shared" si="2"/>
        <v>1</v>
      </c>
      <c r="X3" s="46">
        <v>3.2</v>
      </c>
      <c r="Y3" s="47">
        <f t="shared" si="3"/>
        <v>1</v>
      </c>
      <c r="Z3" s="46">
        <v>3.2</v>
      </c>
      <c r="AA3" s="47">
        <f t="shared" si="4"/>
        <v>1</v>
      </c>
      <c r="AB3" s="46">
        <v>3.0910000000000002</v>
      </c>
      <c r="AC3" s="47">
        <f t="shared" si="5"/>
        <v>0.9659375</v>
      </c>
      <c r="AD3" s="46">
        <v>3.07</v>
      </c>
      <c r="AE3" s="47">
        <f t="shared" si="6"/>
        <v>0.95937499999999987</v>
      </c>
      <c r="AF3" s="46">
        <v>3.024</v>
      </c>
      <c r="AG3" s="47">
        <f t="shared" si="7"/>
        <v>0.94499999999999995</v>
      </c>
      <c r="AH3" s="46">
        <v>3.05</v>
      </c>
      <c r="AI3" s="47">
        <f t="shared" si="8"/>
        <v>0.95312499999999989</v>
      </c>
      <c r="AJ3" s="46">
        <v>2.633</v>
      </c>
      <c r="AK3" s="47">
        <f t="shared" si="9"/>
        <v>0.82281249999999995</v>
      </c>
      <c r="AL3" s="46">
        <v>2.1509999999999998</v>
      </c>
      <c r="AM3" s="47">
        <f t="shared" si="10"/>
        <v>0.67218749999999994</v>
      </c>
      <c r="AN3" s="46">
        <v>1.329</v>
      </c>
      <c r="AO3" s="47">
        <f t="shared" si="11"/>
        <v>0.41531249999999997</v>
      </c>
      <c r="AP3" s="46">
        <v>0.90600000000000003</v>
      </c>
      <c r="AQ3" s="47">
        <f t="shared" si="12"/>
        <v>0.28312500000000002</v>
      </c>
      <c r="AR3" s="46">
        <v>0.41299999999999998</v>
      </c>
      <c r="AS3" s="47">
        <f t="shared" si="13"/>
        <v>0.1290625</v>
      </c>
      <c r="AT3" s="46">
        <v>0.38</v>
      </c>
      <c r="AU3" s="47">
        <f t="shared" si="14"/>
        <v>0.11874999999999999</v>
      </c>
      <c r="AV3" s="46">
        <v>0.33800000000000002</v>
      </c>
      <c r="AW3" s="47">
        <f t="shared" si="15"/>
        <v>0.105625</v>
      </c>
      <c r="AX3" s="46">
        <v>0.32600000000000001</v>
      </c>
      <c r="AY3" s="47">
        <f t="shared" si="16"/>
        <v>0.10187499999999999</v>
      </c>
      <c r="AZ3" s="46">
        <v>0.59399999999999997</v>
      </c>
      <c r="BA3" s="47">
        <f t="shared" si="17"/>
        <v>0.18562499999999998</v>
      </c>
      <c r="BB3" s="46">
        <v>0.58099999999999996</v>
      </c>
      <c r="BC3" s="47">
        <f t="shared" si="18"/>
        <v>0.18156249999999999</v>
      </c>
      <c r="BD3" s="46">
        <v>0.57199999999999995</v>
      </c>
      <c r="BE3" s="47">
        <f t="shared" si="19"/>
        <v>0.17874999999999996</v>
      </c>
      <c r="BF3" s="46">
        <v>0.51</v>
      </c>
      <c r="BG3" s="47">
        <f t="shared" si="20"/>
        <v>0.15937499999999999</v>
      </c>
      <c r="BH3" s="46">
        <v>2.9289999999999998</v>
      </c>
      <c r="BI3" s="47">
        <f t="shared" si="21"/>
        <v>0.91531249999999986</v>
      </c>
      <c r="BJ3" s="36" t="s">
        <v>42</v>
      </c>
    </row>
    <row r="4" spans="1:66">
      <c r="A4" s="37" t="s">
        <v>39</v>
      </c>
      <c r="B4" s="38" t="s">
        <v>45</v>
      </c>
      <c r="C4" s="39">
        <v>19</v>
      </c>
      <c r="D4" s="40" t="s">
        <v>46</v>
      </c>
      <c r="E4" s="41">
        <v>3.5</v>
      </c>
      <c r="F4" s="42">
        <v>3.5</v>
      </c>
      <c r="G4" s="42">
        <v>3.5</v>
      </c>
      <c r="H4" s="42">
        <v>3.5</v>
      </c>
      <c r="I4" s="42">
        <v>3.5</v>
      </c>
      <c r="J4" s="42">
        <v>3.5</v>
      </c>
      <c r="K4" s="42">
        <v>3.5</v>
      </c>
      <c r="L4" s="43">
        <v>3.5</v>
      </c>
      <c r="M4" s="44">
        <v>3.5</v>
      </c>
      <c r="N4" s="44">
        <v>3.5</v>
      </c>
      <c r="O4" s="45">
        <v>3.5</v>
      </c>
      <c r="P4" s="45">
        <v>3.5</v>
      </c>
      <c r="Q4" s="45">
        <v>3.5</v>
      </c>
      <c r="R4" s="46">
        <v>2.5459999999999998</v>
      </c>
      <c r="S4" s="47">
        <f t="shared" si="0"/>
        <v>0.72742857142857142</v>
      </c>
      <c r="T4" s="46">
        <v>3.2160000000000002</v>
      </c>
      <c r="U4" s="47">
        <f t="shared" si="1"/>
        <v>0.91885714285714293</v>
      </c>
      <c r="V4" s="46">
        <v>3.339</v>
      </c>
      <c r="W4" s="47">
        <f t="shared" si="2"/>
        <v>0.95399999999999996</v>
      </c>
      <c r="X4" s="46">
        <v>3.456</v>
      </c>
      <c r="Y4" s="47">
        <f t="shared" si="3"/>
        <v>0.98742857142857143</v>
      </c>
      <c r="Z4" s="46">
        <v>3.5</v>
      </c>
      <c r="AA4" s="47">
        <f t="shared" si="4"/>
        <v>1</v>
      </c>
      <c r="AB4" s="46">
        <v>3.4380000000000002</v>
      </c>
      <c r="AC4" s="47">
        <f t="shared" si="5"/>
        <v>0.98228571428571432</v>
      </c>
      <c r="AD4" s="46">
        <v>3.431</v>
      </c>
      <c r="AE4" s="47">
        <f t="shared" si="6"/>
        <v>0.98028571428571432</v>
      </c>
      <c r="AF4" s="46">
        <v>3.4009999999999998</v>
      </c>
      <c r="AG4" s="47">
        <f t="shared" si="7"/>
        <v>0.97171428571428564</v>
      </c>
      <c r="AH4" s="46">
        <v>3.1789999999999998</v>
      </c>
      <c r="AI4" s="47">
        <f t="shared" si="8"/>
        <v>0.90828571428571425</v>
      </c>
      <c r="AJ4" s="46">
        <v>2.9169999999999998</v>
      </c>
      <c r="AK4" s="47">
        <f t="shared" si="9"/>
        <v>0.83342857142857141</v>
      </c>
      <c r="AL4" s="46">
        <v>2.508</v>
      </c>
      <c r="AM4" s="47">
        <f t="shared" si="10"/>
        <v>0.71657142857142853</v>
      </c>
      <c r="AN4" s="46">
        <v>1.72</v>
      </c>
      <c r="AO4" s="47">
        <f t="shared" si="11"/>
        <v>0.49142857142857144</v>
      </c>
      <c r="AP4" s="46">
        <v>1.3380000000000001</v>
      </c>
      <c r="AQ4" s="47">
        <f t="shared" si="12"/>
        <v>0.38228571428571428</v>
      </c>
      <c r="AR4" s="46">
        <v>0.83599999999999997</v>
      </c>
      <c r="AS4" s="47">
        <f t="shared" si="13"/>
        <v>0.23885714285714285</v>
      </c>
      <c r="AT4" s="46">
        <v>0.73</v>
      </c>
      <c r="AU4" s="47">
        <f t="shared" si="14"/>
        <v>0.20857142857142857</v>
      </c>
      <c r="AV4" s="46">
        <v>0.625</v>
      </c>
      <c r="AW4" s="47">
        <f t="shared" si="15"/>
        <v>0.17857142857142858</v>
      </c>
      <c r="AX4" s="46">
        <v>0.44400000000000001</v>
      </c>
      <c r="AY4" s="47">
        <f t="shared" si="16"/>
        <v>0.12685714285714286</v>
      </c>
      <c r="AZ4" s="46">
        <v>0.41299999999999998</v>
      </c>
      <c r="BA4" s="47">
        <f t="shared" si="17"/>
        <v>0.11799999999999999</v>
      </c>
      <c r="BB4" s="46">
        <v>0.38900000000000001</v>
      </c>
      <c r="BC4" s="47">
        <f t="shared" si="18"/>
        <v>0.11114285714285714</v>
      </c>
      <c r="BD4" s="46">
        <v>0.36699999999999999</v>
      </c>
      <c r="BE4" s="47">
        <f t="shared" si="19"/>
        <v>0.10485714285714286</v>
      </c>
      <c r="BF4" s="46">
        <v>0.32</v>
      </c>
      <c r="BG4" s="47">
        <f t="shared" si="20"/>
        <v>9.1428571428571428E-2</v>
      </c>
      <c r="BH4" s="46">
        <v>0.78200000000000003</v>
      </c>
      <c r="BI4" s="47">
        <f t="shared" si="21"/>
        <v>0.22342857142857145</v>
      </c>
      <c r="BJ4" s="36" t="s">
        <v>42</v>
      </c>
      <c r="BL4" s="48" t="s">
        <v>47</v>
      </c>
      <c r="BM4" s="49"/>
    </row>
    <row r="5" spans="1:66">
      <c r="A5" s="37" t="s">
        <v>39</v>
      </c>
      <c r="B5" s="38" t="s">
        <v>48</v>
      </c>
      <c r="C5" s="39">
        <v>44</v>
      </c>
      <c r="D5" s="40" t="s">
        <v>48</v>
      </c>
      <c r="E5" s="41">
        <v>1.85</v>
      </c>
      <c r="F5" s="42">
        <v>1.85</v>
      </c>
      <c r="G5" s="42">
        <v>1.85</v>
      </c>
      <c r="H5" s="42">
        <v>1.85</v>
      </c>
      <c r="I5" s="42">
        <v>1.85</v>
      </c>
      <c r="J5" s="42">
        <v>1.85</v>
      </c>
      <c r="K5" s="42">
        <v>1.85</v>
      </c>
      <c r="L5" s="43">
        <v>1.85</v>
      </c>
      <c r="M5" s="44">
        <v>1.85</v>
      </c>
      <c r="N5" s="44">
        <v>1.85</v>
      </c>
      <c r="O5" s="45">
        <v>1.85</v>
      </c>
      <c r="P5" s="45">
        <v>1.85</v>
      </c>
      <c r="Q5" s="45">
        <v>1.85</v>
      </c>
      <c r="R5" s="46">
        <v>1.85</v>
      </c>
      <c r="S5" s="47">
        <f t="shared" si="0"/>
        <v>1</v>
      </c>
      <c r="T5" s="46">
        <v>1.85</v>
      </c>
      <c r="U5" s="47">
        <f t="shared" si="1"/>
        <v>1</v>
      </c>
      <c r="V5" s="46">
        <v>1.85</v>
      </c>
      <c r="W5" s="47">
        <f t="shared" si="2"/>
        <v>1</v>
      </c>
      <c r="X5" s="46">
        <v>1.85</v>
      </c>
      <c r="Y5" s="47">
        <f t="shared" si="3"/>
        <v>1</v>
      </c>
      <c r="Z5" s="46">
        <v>1.85</v>
      </c>
      <c r="AA5" s="47">
        <f t="shared" si="4"/>
        <v>1</v>
      </c>
      <c r="AB5" s="46">
        <v>1.85</v>
      </c>
      <c r="AC5" s="47">
        <f t="shared" si="5"/>
        <v>1</v>
      </c>
      <c r="AD5" s="46">
        <v>1.849</v>
      </c>
      <c r="AE5" s="47">
        <f t="shared" si="6"/>
        <v>0.99945945945945935</v>
      </c>
      <c r="AF5" s="46">
        <v>1.8049999999999999</v>
      </c>
      <c r="AG5" s="47">
        <f t="shared" si="7"/>
        <v>0.97567567567567559</v>
      </c>
      <c r="AH5" s="46">
        <v>1.5840000000000001</v>
      </c>
      <c r="AI5" s="47">
        <f t="shared" si="8"/>
        <v>0.85621621621621624</v>
      </c>
      <c r="AJ5" s="46">
        <v>1.246</v>
      </c>
      <c r="AK5" s="47">
        <f t="shared" si="9"/>
        <v>0.67351351351351352</v>
      </c>
      <c r="AL5" s="46">
        <v>0.73499999999999999</v>
      </c>
      <c r="AM5" s="47">
        <f t="shared" si="10"/>
        <v>0.39729729729729729</v>
      </c>
      <c r="AN5" s="46">
        <v>0.54400000000000004</v>
      </c>
      <c r="AO5" s="47">
        <f t="shared" si="11"/>
        <v>0.29405405405405405</v>
      </c>
      <c r="AP5" s="46">
        <v>0.55500000000000005</v>
      </c>
      <c r="AQ5" s="47">
        <f t="shared" si="12"/>
        <v>0.3</v>
      </c>
      <c r="AR5" s="46">
        <v>0.29799999999999999</v>
      </c>
      <c r="AS5" s="47">
        <f t="shared" si="13"/>
        <v>0.16108108108108107</v>
      </c>
      <c r="AT5" s="46">
        <v>0.33</v>
      </c>
      <c r="AU5" s="47">
        <f t="shared" si="14"/>
        <v>0.17837837837837839</v>
      </c>
      <c r="AV5" s="46">
        <v>0.36199999999999999</v>
      </c>
      <c r="AW5" s="47">
        <f t="shared" si="15"/>
        <v>0.19567567567567565</v>
      </c>
      <c r="AX5" s="46">
        <v>0.33900000000000002</v>
      </c>
      <c r="AY5" s="47">
        <f t="shared" si="16"/>
        <v>0.18324324324324326</v>
      </c>
      <c r="AZ5" s="46">
        <v>0.34300000000000003</v>
      </c>
      <c r="BA5" s="47">
        <f t="shared" si="17"/>
        <v>0.1854054054054054</v>
      </c>
      <c r="BB5" s="46">
        <v>0.33600000000000002</v>
      </c>
      <c r="BC5" s="47">
        <f t="shared" si="18"/>
        <v>0.18162162162162163</v>
      </c>
      <c r="BD5" s="46">
        <v>0.32800000000000001</v>
      </c>
      <c r="BE5" s="47">
        <f t="shared" si="19"/>
        <v>0.17729729729729729</v>
      </c>
      <c r="BF5" s="46">
        <v>0.31</v>
      </c>
      <c r="BG5" s="47">
        <f t="shared" si="20"/>
        <v>0.16756756756756755</v>
      </c>
      <c r="BH5" s="46">
        <v>0.432</v>
      </c>
      <c r="BI5" s="47">
        <f t="shared" si="21"/>
        <v>0.23351351351351349</v>
      </c>
      <c r="BJ5" s="36" t="s">
        <v>42</v>
      </c>
      <c r="BL5" t="s">
        <v>49</v>
      </c>
    </row>
    <row r="6" spans="1:66">
      <c r="A6" s="37" t="s">
        <v>39</v>
      </c>
      <c r="B6" s="38" t="s">
        <v>50</v>
      </c>
      <c r="C6" s="39">
        <v>49</v>
      </c>
      <c r="D6" s="40" t="s">
        <v>50</v>
      </c>
      <c r="E6" s="41">
        <v>20</v>
      </c>
      <c r="F6" s="42">
        <v>20</v>
      </c>
      <c r="G6" s="42">
        <v>20</v>
      </c>
      <c r="H6" s="42">
        <v>20</v>
      </c>
      <c r="I6" s="42">
        <v>20</v>
      </c>
      <c r="J6" s="42">
        <v>20</v>
      </c>
      <c r="K6" s="42">
        <v>20</v>
      </c>
      <c r="L6" s="43">
        <v>20</v>
      </c>
      <c r="M6" s="44">
        <v>20</v>
      </c>
      <c r="N6" s="44">
        <v>20</v>
      </c>
      <c r="O6" s="45">
        <v>20</v>
      </c>
      <c r="P6" s="45">
        <v>20</v>
      </c>
      <c r="Q6" s="45">
        <v>20</v>
      </c>
      <c r="R6" s="46">
        <v>17.481999999999999</v>
      </c>
      <c r="S6" s="47">
        <f t="shared" si="0"/>
        <v>0.87409999999999999</v>
      </c>
      <c r="T6" s="46">
        <v>20</v>
      </c>
      <c r="U6" s="47">
        <f t="shared" si="1"/>
        <v>1</v>
      </c>
      <c r="V6" s="46">
        <v>20</v>
      </c>
      <c r="W6" s="47">
        <f t="shared" si="2"/>
        <v>1</v>
      </c>
      <c r="X6" s="46">
        <v>20</v>
      </c>
      <c r="Y6" s="47">
        <f t="shared" si="3"/>
        <v>1</v>
      </c>
      <c r="Z6" s="46">
        <v>20</v>
      </c>
      <c r="AA6" s="47">
        <f t="shared" si="4"/>
        <v>1</v>
      </c>
      <c r="AB6" s="46">
        <v>19.814</v>
      </c>
      <c r="AC6" s="47">
        <f t="shared" si="5"/>
        <v>0.99070000000000003</v>
      </c>
      <c r="AD6" s="46">
        <v>19.576000000000001</v>
      </c>
      <c r="AE6" s="47">
        <f t="shared" si="6"/>
        <v>0.9788</v>
      </c>
      <c r="AF6" s="46">
        <v>18.991</v>
      </c>
      <c r="AG6" s="47">
        <f t="shared" si="7"/>
        <v>0.94955000000000001</v>
      </c>
      <c r="AH6" s="46">
        <v>17.006</v>
      </c>
      <c r="AI6" s="47">
        <f t="shared" si="8"/>
        <v>0.85030000000000006</v>
      </c>
      <c r="AJ6" s="46">
        <v>15.202999999999999</v>
      </c>
      <c r="AK6" s="47">
        <f t="shared" si="9"/>
        <v>0.76014999999999999</v>
      </c>
      <c r="AL6" s="46">
        <v>12.992000000000001</v>
      </c>
      <c r="AM6" s="47">
        <f t="shared" si="10"/>
        <v>0.64960000000000007</v>
      </c>
      <c r="AN6" s="46">
        <v>8.766</v>
      </c>
      <c r="AO6" s="47">
        <f t="shared" si="11"/>
        <v>0.43830000000000002</v>
      </c>
      <c r="AP6" s="46">
        <v>6.6580000000000004</v>
      </c>
      <c r="AQ6" s="47">
        <f t="shared" si="12"/>
        <v>0.33290000000000003</v>
      </c>
      <c r="AR6" s="46">
        <v>3.9079999999999999</v>
      </c>
      <c r="AS6" s="47">
        <f t="shared" si="13"/>
        <v>0.19539999999999999</v>
      </c>
      <c r="AT6" s="46">
        <v>3.04</v>
      </c>
      <c r="AU6" s="47">
        <f t="shared" si="14"/>
        <v>0.152</v>
      </c>
      <c r="AV6" s="46">
        <v>2.3109999999999999</v>
      </c>
      <c r="AW6" s="47">
        <f t="shared" si="15"/>
        <v>0.11555</v>
      </c>
      <c r="AX6" s="46">
        <v>1.339</v>
      </c>
      <c r="AY6" s="47">
        <f t="shared" si="16"/>
        <v>6.6949999999999996E-2</v>
      </c>
      <c r="AZ6" s="46">
        <v>0.95799999999999996</v>
      </c>
      <c r="BA6" s="47">
        <f t="shared" si="17"/>
        <v>4.7899999999999998E-2</v>
      </c>
      <c r="BB6" s="46">
        <v>0.90800000000000003</v>
      </c>
      <c r="BC6" s="47">
        <f t="shared" si="18"/>
        <v>4.5400000000000003E-2</v>
      </c>
      <c r="BD6" s="46">
        <v>0.85599999999999998</v>
      </c>
      <c r="BE6" s="47">
        <f t="shared" si="19"/>
        <v>4.2799999999999998E-2</v>
      </c>
      <c r="BF6" s="46">
        <v>0.78</v>
      </c>
      <c r="BG6" s="47">
        <f t="shared" si="20"/>
        <v>3.9E-2</v>
      </c>
      <c r="BH6" s="46">
        <v>2.3069999999999999</v>
      </c>
      <c r="BI6" s="47">
        <f t="shared" si="21"/>
        <v>0.11534999999999999</v>
      </c>
      <c r="BJ6" s="36" t="s">
        <v>42</v>
      </c>
      <c r="BL6" t="s">
        <v>51</v>
      </c>
    </row>
    <row r="7" spans="1:66">
      <c r="A7" s="37" t="s">
        <v>39</v>
      </c>
      <c r="B7" s="38" t="s">
        <v>52</v>
      </c>
      <c r="C7" s="39">
        <v>48</v>
      </c>
      <c r="D7" s="40" t="s">
        <v>52</v>
      </c>
      <c r="E7" s="41">
        <v>3.2</v>
      </c>
      <c r="F7" s="42">
        <v>3.2</v>
      </c>
      <c r="G7" s="42">
        <v>3.15</v>
      </c>
      <c r="H7" s="42">
        <v>3.15</v>
      </c>
      <c r="I7" s="42">
        <v>3.15</v>
      </c>
      <c r="J7" s="42">
        <v>3.15</v>
      </c>
      <c r="K7" s="42">
        <v>3.15</v>
      </c>
      <c r="L7" s="43">
        <v>3.15</v>
      </c>
      <c r="M7" s="44">
        <v>3.15</v>
      </c>
      <c r="N7" s="44">
        <v>3.15</v>
      </c>
      <c r="O7" s="45">
        <v>3.15</v>
      </c>
      <c r="P7" s="45">
        <v>3.15</v>
      </c>
      <c r="Q7" s="45">
        <v>3.15</v>
      </c>
      <c r="R7" s="46">
        <v>3.15</v>
      </c>
      <c r="S7" s="47">
        <f t="shared" si="0"/>
        <v>1</v>
      </c>
      <c r="T7" s="46">
        <v>3.15</v>
      </c>
      <c r="U7" s="47">
        <f t="shared" si="1"/>
        <v>1</v>
      </c>
      <c r="V7" s="46">
        <v>3.15</v>
      </c>
      <c r="W7" s="47">
        <f t="shared" si="2"/>
        <v>1</v>
      </c>
      <c r="X7" s="46">
        <v>3.15</v>
      </c>
      <c r="Y7" s="47">
        <f t="shared" si="3"/>
        <v>1</v>
      </c>
      <c r="Z7" s="46">
        <v>3.15</v>
      </c>
      <c r="AA7" s="47">
        <f t="shared" si="4"/>
        <v>1</v>
      </c>
      <c r="AB7" s="46">
        <v>3.0830000000000002</v>
      </c>
      <c r="AC7" s="47">
        <f t="shared" si="5"/>
        <v>0.97873015873015878</v>
      </c>
      <c r="AD7" s="46">
        <v>3.03</v>
      </c>
      <c r="AE7" s="47">
        <f t="shared" si="6"/>
        <v>0.96190476190476182</v>
      </c>
      <c r="AF7" s="46">
        <v>2.952</v>
      </c>
      <c r="AG7" s="47">
        <f t="shared" si="7"/>
        <v>0.93714285714285717</v>
      </c>
      <c r="AH7" s="46">
        <v>2.7709999999999999</v>
      </c>
      <c r="AI7" s="47">
        <f t="shared" si="8"/>
        <v>0.87968253968253973</v>
      </c>
      <c r="AJ7" s="46">
        <v>2.5760000000000001</v>
      </c>
      <c r="AK7" s="47">
        <f t="shared" si="9"/>
        <v>0.81777777777777783</v>
      </c>
      <c r="AL7" s="46">
        <v>2.109</v>
      </c>
      <c r="AM7" s="47">
        <f t="shared" si="10"/>
        <v>0.66952380952380952</v>
      </c>
      <c r="AN7" s="46">
        <v>1.369</v>
      </c>
      <c r="AO7" s="47">
        <f t="shared" si="11"/>
        <v>0.4346031746031746</v>
      </c>
      <c r="AP7" s="46">
        <v>0.97399999999999998</v>
      </c>
      <c r="AQ7" s="47">
        <f t="shared" si="12"/>
        <v>0.30920634920634921</v>
      </c>
      <c r="AR7" s="46">
        <v>0.61199999999999999</v>
      </c>
      <c r="AS7" s="47">
        <f t="shared" si="13"/>
        <v>0.19428571428571428</v>
      </c>
      <c r="AT7" s="46">
        <v>0.51</v>
      </c>
      <c r="AU7" s="47">
        <f t="shared" si="14"/>
        <v>0.16190476190476191</v>
      </c>
      <c r="AV7" s="46">
        <v>0.44800000000000001</v>
      </c>
      <c r="AW7" s="47">
        <f t="shared" si="15"/>
        <v>0.14222222222222222</v>
      </c>
      <c r="AX7" s="46">
        <v>0.33700000000000002</v>
      </c>
      <c r="AY7" s="47">
        <f t="shared" si="16"/>
        <v>0.106984126984127</v>
      </c>
      <c r="AZ7" s="46">
        <v>0.28599999999999998</v>
      </c>
      <c r="BA7" s="47">
        <f t="shared" si="17"/>
        <v>9.0793650793650788E-2</v>
      </c>
      <c r="BB7" s="46">
        <v>0.26500000000000001</v>
      </c>
      <c r="BC7" s="47">
        <f t="shared" si="18"/>
        <v>8.4126984126984133E-2</v>
      </c>
      <c r="BD7" s="46">
        <v>0.24399999999999999</v>
      </c>
      <c r="BE7" s="47">
        <f t="shared" si="19"/>
        <v>7.7460317460317465E-2</v>
      </c>
      <c r="BF7" s="46">
        <v>0.19</v>
      </c>
      <c r="BG7" s="47">
        <f t="shared" si="20"/>
        <v>6.0317460317460318E-2</v>
      </c>
      <c r="BH7" s="46">
        <v>0.78</v>
      </c>
      <c r="BI7" s="47">
        <f t="shared" si="21"/>
        <v>0.24761904761904763</v>
      </c>
      <c r="BJ7" s="36" t="s">
        <v>42</v>
      </c>
      <c r="BL7" t="s">
        <v>53</v>
      </c>
    </row>
    <row r="8" spans="1:66">
      <c r="A8" s="37" t="s">
        <v>39</v>
      </c>
      <c r="B8" s="38" t="s">
        <v>54</v>
      </c>
      <c r="C8" s="39">
        <v>18</v>
      </c>
      <c r="D8" s="40" t="s">
        <v>55</v>
      </c>
      <c r="E8" s="41">
        <v>2.5009999999999999</v>
      </c>
      <c r="F8" s="42">
        <v>2.5009999999999999</v>
      </c>
      <c r="G8" s="42">
        <v>2.5</v>
      </c>
      <c r="H8" s="42">
        <v>2.5</v>
      </c>
      <c r="I8" s="42">
        <v>2.5</v>
      </c>
      <c r="J8" s="42">
        <v>2.5</v>
      </c>
      <c r="K8" s="42">
        <v>2.5</v>
      </c>
      <c r="L8" s="43">
        <v>2.5</v>
      </c>
      <c r="M8" s="44">
        <v>2.5</v>
      </c>
      <c r="N8" s="44">
        <v>2.5</v>
      </c>
      <c r="O8" s="45">
        <v>2.5</v>
      </c>
      <c r="P8" s="45">
        <v>2.5</v>
      </c>
      <c r="Q8" s="45">
        <v>2.5</v>
      </c>
      <c r="R8" s="46">
        <v>2.5</v>
      </c>
      <c r="S8" s="47">
        <f t="shared" si="0"/>
        <v>1</v>
      </c>
      <c r="T8" s="46">
        <v>2.5</v>
      </c>
      <c r="U8" s="47">
        <f t="shared" si="1"/>
        <v>1</v>
      </c>
      <c r="V8" s="46">
        <v>2.5</v>
      </c>
      <c r="W8" s="47">
        <f t="shared" si="2"/>
        <v>1</v>
      </c>
      <c r="X8" s="46">
        <v>2.5</v>
      </c>
      <c r="Y8" s="47">
        <f t="shared" si="3"/>
        <v>1</v>
      </c>
      <c r="Z8" s="46">
        <v>2.5</v>
      </c>
      <c r="AA8" s="47">
        <f t="shared" si="4"/>
        <v>1</v>
      </c>
      <c r="AB8" s="46">
        <v>2.42</v>
      </c>
      <c r="AC8" s="47">
        <f t="shared" si="5"/>
        <v>0.96799999999999997</v>
      </c>
      <c r="AD8" s="46">
        <v>2.383</v>
      </c>
      <c r="AE8" s="47">
        <f t="shared" si="6"/>
        <v>0.95320000000000005</v>
      </c>
      <c r="AF8" s="46">
        <v>2.3620000000000001</v>
      </c>
      <c r="AG8" s="47">
        <f t="shared" si="7"/>
        <v>0.94480000000000008</v>
      </c>
      <c r="AH8" s="46">
        <v>2.21</v>
      </c>
      <c r="AI8" s="47">
        <f t="shared" si="8"/>
        <v>0.88400000000000001</v>
      </c>
      <c r="AJ8" s="46">
        <v>1.9510000000000001</v>
      </c>
      <c r="AK8" s="47">
        <f t="shared" si="9"/>
        <v>0.78039999999999998</v>
      </c>
      <c r="AL8" s="46">
        <v>1.641</v>
      </c>
      <c r="AM8" s="47">
        <f t="shared" si="10"/>
        <v>0.65639999999999998</v>
      </c>
      <c r="AN8" s="46">
        <v>1.022</v>
      </c>
      <c r="AO8" s="47">
        <f t="shared" si="11"/>
        <v>0.4088</v>
      </c>
      <c r="AP8" s="46">
        <v>0.77800000000000002</v>
      </c>
      <c r="AQ8" s="47">
        <f t="shared" si="12"/>
        <v>0.31120000000000003</v>
      </c>
      <c r="AR8" s="46">
        <v>0.55100000000000005</v>
      </c>
      <c r="AS8" s="47">
        <f t="shared" si="13"/>
        <v>0.22040000000000001</v>
      </c>
      <c r="AT8" s="46">
        <v>0.52</v>
      </c>
      <c r="AU8" s="47">
        <f t="shared" si="14"/>
        <v>0.20800000000000002</v>
      </c>
      <c r="AV8" s="46">
        <v>0.48799999999999999</v>
      </c>
      <c r="AW8" s="47">
        <f t="shared" si="15"/>
        <v>0.19519999999999998</v>
      </c>
      <c r="AX8" s="46">
        <v>0.41199999999999998</v>
      </c>
      <c r="AY8" s="47">
        <f t="shared" si="16"/>
        <v>0.1648</v>
      </c>
      <c r="AZ8" s="46">
        <v>0.41199999999999998</v>
      </c>
      <c r="BA8" s="47">
        <f t="shared" si="17"/>
        <v>0.1648</v>
      </c>
      <c r="BB8" s="46">
        <v>0.40500000000000003</v>
      </c>
      <c r="BC8" s="47">
        <f t="shared" si="18"/>
        <v>0.16200000000000001</v>
      </c>
      <c r="BD8" s="46">
        <v>0.40100000000000002</v>
      </c>
      <c r="BE8" s="47">
        <f t="shared" si="19"/>
        <v>0.16040000000000001</v>
      </c>
      <c r="BF8" s="46">
        <v>0.39</v>
      </c>
      <c r="BG8" s="47">
        <f t="shared" si="20"/>
        <v>0.156</v>
      </c>
      <c r="BH8" s="46">
        <v>0.53900000000000003</v>
      </c>
      <c r="BI8" s="47">
        <f t="shared" si="21"/>
        <v>0.21560000000000001</v>
      </c>
      <c r="BJ8" s="36" t="s">
        <v>42</v>
      </c>
    </row>
    <row r="9" spans="1:66">
      <c r="A9" s="37" t="s">
        <v>39</v>
      </c>
      <c r="B9" s="38" t="s">
        <v>56</v>
      </c>
      <c r="C9" s="39">
        <v>39</v>
      </c>
      <c r="D9" s="40" t="s">
        <v>39</v>
      </c>
      <c r="E9" s="41">
        <v>11.7</v>
      </c>
      <c r="F9" s="42">
        <v>11.7</v>
      </c>
      <c r="G9" s="42">
        <v>11.7</v>
      </c>
      <c r="H9" s="42">
        <v>11.7</v>
      </c>
      <c r="I9" s="42">
        <v>11.7</v>
      </c>
      <c r="J9" s="42">
        <v>11.7</v>
      </c>
      <c r="K9" s="42">
        <v>11.7</v>
      </c>
      <c r="L9" s="43">
        <v>11.7</v>
      </c>
      <c r="M9" s="44">
        <v>11.7</v>
      </c>
      <c r="N9" s="44">
        <v>11.7</v>
      </c>
      <c r="O9" s="45">
        <v>11.7</v>
      </c>
      <c r="P9" s="45">
        <v>11.7</v>
      </c>
      <c r="Q9" s="45">
        <v>11.7</v>
      </c>
      <c r="R9" s="46">
        <v>7.9530000000000003</v>
      </c>
      <c r="S9" s="47">
        <f t="shared" si="0"/>
        <v>0.67974358974358984</v>
      </c>
      <c r="T9" s="46">
        <v>8.1389999999999993</v>
      </c>
      <c r="U9" s="47">
        <f t="shared" si="1"/>
        <v>0.69564102564102559</v>
      </c>
      <c r="V9" s="46">
        <v>8.1419999999999995</v>
      </c>
      <c r="W9" s="47">
        <f t="shared" si="2"/>
        <v>0.69589743589743591</v>
      </c>
      <c r="X9" s="46">
        <v>8.1359999999999992</v>
      </c>
      <c r="Y9" s="47">
        <f t="shared" si="3"/>
        <v>0.69538461538461538</v>
      </c>
      <c r="Z9" s="46">
        <v>8.4169999999999998</v>
      </c>
      <c r="AA9" s="47">
        <f t="shared" si="4"/>
        <v>0.71940170940170944</v>
      </c>
      <c r="AB9" s="46">
        <v>9.8490000000000002</v>
      </c>
      <c r="AC9" s="47">
        <f t="shared" si="5"/>
        <v>0.84179487179487189</v>
      </c>
      <c r="AD9" s="46">
        <v>10.249000000000001</v>
      </c>
      <c r="AE9" s="47">
        <f t="shared" si="6"/>
        <v>0.87598290598290607</v>
      </c>
      <c r="AF9" s="46">
        <v>10.579000000000001</v>
      </c>
      <c r="AG9" s="47">
        <f t="shared" si="7"/>
        <v>0.90418803418803428</v>
      </c>
      <c r="AH9" s="46">
        <v>11.035</v>
      </c>
      <c r="AI9" s="47">
        <f t="shared" si="8"/>
        <v>0.94316239316239325</v>
      </c>
      <c r="AJ9" s="46">
        <v>10.987</v>
      </c>
      <c r="AK9" s="47">
        <f t="shared" si="9"/>
        <v>0.9390598290598291</v>
      </c>
      <c r="AL9" s="46">
        <v>10.207000000000001</v>
      </c>
      <c r="AM9" s="47">
        <f t="shared" si="10"/>
        <v>0.87239316239316256</v>
      </c>
      <c r="AN9" s="46">
        <v>8.6790000000000003</v>
      </c>
      <c r="AO9" s="47">
        <f t="shared" si="11"/>
        <v>0.74179487179487191</v>
      </c>
      <c r="AP9" s="46">
        <v>7.9059999999999997</v>
      </c>
      <c r="AQ9" s="47">
        <f t="shared" si="12"/>
        <v>0.67572649572649579</v>
      </c>
      <c r="AR9" s="46">
        <v>6.7619999999999996</v>
      </c>
      <c r="AS9" s="47">
        <f t="shared" si="13"/>
        <v>0.57794871794871794</v>
      </c>
      <c r="AT9" s="46">
        <v>6.59</v>
      </c>
      <c r="AU9" s="47">
        <f t="shared" si="14"/>
        <v>0.56324786324786325</v>
      </c>
      <c r="AV9" s="46">
        <v>6.32</v>
      </c>
      <c r="AW9" s="47">
        <f t="shared" si="15"/>
        <v>0.54017094017094025</v>
      </c>
      <c r="AX9" s="46">
        <v>6.0060000000000002</v>
      </c>
      <c r="AY9" s="47">
        <f t="shared" si="16"/>
        <v>0.51333333333333342</v>
      </c>
      <c r="AZ9" s="46">
        <v>6.0190000000000001</v>
      </c>
      <c r="BA9" s="47">
        <f t="shared" si="17"/>
        <v>0.51444444444444448</v>
      </c>
      <c r="BB9" s="46">
        <v>6.0090000000000003</v>
      </c>
      <c r="BC9" s="47">
        <f t="shared" si="18"/>
        <v>0.51358974358974363</v>
      </c>
      <c r="BD9" s="46">
        <v>6.0060000000000002</v>
      </c>
      <c r="BE9" s="47">
        <f t="shared" si="19"/>
        <v>0.51333333333333342</v>
      </c>
      <c r="BF9" s="46">
        <v>5.97</v>
      </c>
      <c r="BG9" s="47">
        <f t="shared" si="20"/>
        <v>0.51025641025641022</v>
      </c>
      <c r="BH9" s="46">
        <v>6.0549999999999997</v>
      </c>
      <c r="BI9" s="47">
        <f t="shared" si="21"/>
        <v>0.51752136752136757</v>
      </c>
      <c r="BJ9" s="36" t="s">
        <v>42</v>
      </c>
    </row>
    <row r="10" spans="1:66">
      <c r="A10" s="37" t="s">
        <v>39</v>
      </c>
      <c r="B10" s="38" t="s">
        <v>57</v>
      </c>
      <c r="C10" s="39">
        <v>17</v>
      </c>
      <c r="D10" s="40" t="s">
        <v>57</v>
      </c>
      <c r="E10" s="41">
        <v>5.21</v>
      </c>
      <c r="F10" s="42">
        <v>5.21</v>
      </c>
      <c r="G10" s="42">
        <v>5.2</v>
      </c>
      <c r="H10" s="42">
        <v>5.2</v>
      </c>
      <c r="I10" s="42">
        <v>5.2</v>
      </c>
      <c r="J10" s="42">
        <v>5.2</v>
      </c>
      <c r="K10" s="42">
        <v>5.2</v>
      </c>
      <c r="L10" s="43">
        <v>5.2</v>
      </c>
      <c r="M10" s="44">
        <v>5.2</v>
      </c>
      <c r="N10" s="44">
        <v>5.2</v>
      </c>
      <c r="O10" s="45">
        <v>5.2</v>
      </c>
      <c r="P10" s="45">
        <v>5.2</v>
      </c>
      <c r="Q10" s="45">
        <v>5.2</v>
      </c>
      <c r="R10" s="46">
        <v>2.7690000000000001</v>
      </c>
      <c r="S10" s="47">
        <f t="shared" si="0"/>
        <v>0.53249999999999997</v>
      </c>
      <c r="T10" s="46">
        <v>3.4489999999999998</v>
      </c>
      <c r="U10" s="47">
        <f t="shared" si="1"/>
        <v>0.66326923076923072</v>
      </c>
      <c r="V10" s="46">
        <v>3.81</v>
      </c>
      <c r="W10" s="47">
        <f t="shared" si="2"/>
        <v>0.73269230769230764</v>
      </c>
      <c r="X10" s="46">
        <v>4.3220000000000001</v>
      </c>
      <c r="Y10" s="47">
        <f t="shared" si="3"/>
        <v>0.83115384615384613</v>
      </c>
      <c r="Z10" s="46">
        <v>5.0449999999999999</v>
      </c>
      <c r="AA10" s="47">
        <f t="shared" si="4"/>
        <v>0.97019230769230769</v>
      </c>
      <c r="AB10" s="46">
        <v>5.0069999999999997</v>
      </c>
      <c r="AC10" s="47">
        <f t="shared" si="5"/>
        <v>0.96288461538461534</v>
      </c>
      <c r="AD10" s="46">
        <v>4.9059999999999997</v>
      </c>
      <c r="AE10" s="47">
        <f t="shared" si="6"/>
        <v>0.94346153846153835</v>
      </c>
      <c r="AF10" s="46">
        <v>4.7750000000000004</v>
      </c>
      <c r="AG10" s="47">
        <f t="shared" si="7"/>
        <v>0.91826923076923084</v>
      </c>
      <c r="AH10" s="46">
        <v>4.1859999999999999</v>
      </c>
      <c r="AI10" s="47">
        <f t="shared" si="8"/>
        <v>0.80499999999999994</v>
      </c>
      <c r="AJ10" s="46">
        <v>3.8140000000000001</v>
      </c>
      <c r="AK10" s="47">
        <f t="shared" si="9"/>
        <v>0.7334615384615385</v>
      </c>
      <c r="AL10" s="46">
        <v>3.2959999999999998</v>
      </c>
      <c r="AM10" s="47">
        <f t="shared" si="10"/>
        <v>0.63384615384615384</v>
      </c>
      <c r="AN10" s="46">
        <v>2.399</v>
      </c>
      <c r="AO10" s="47">
        <f t="shared" si="11"/>
        <v>0.46134615384615385</v>
      </c>
      <c r="AP10" s="46">
        <v>2.0329999999999999</v>
      </c>
      <c r="AQ10" s="47">
        <f t="shared" si="12"/>
        <v>0.39096153846153842</v>
      </c>
      <c r="AR10" s="46">
        <v>1.4019999999999999</v>
      </c>
      <c r="AS10" s="47">
        <f t="shared" si="13"/>
        <v>0.26961538461538459</v>
      </c>
      <c r="AT10" s="46">
        <v>1.1599999999999999</v>
      </c>
      <c r="AU10" s="47">
        <f t="shared" si="14"/>
        <v>0.22307692307692306</v>
      </c>
      <c r="AV10" s="46">
        <v>0.94799999999999995</v>
      </c>
      <c r="AW10" s="47">
        <f t="shared" si="15"/>
        <v>0.18230769230769228</v>
      </c>
      <c r="AX10" s="46">
        <v>0.76300000000000001</v>
      </c>
      <c r="AY10" s="47">
        <f t="shared" si="16"/>
        <v>0.14673076923076922</v>
      </c>
      <c r="AZ10" s="46">
        <v>0.65100000000000002</v>
      </c>
      <c r="BA10" s="47">
        <f t="shared" si="17"/>
        <v>0.12519230769230769</v>
      </c>
      <c r="BB10" s="46">
        <v>0.58599999999999997</v>
      </c>
      <c r="BC10" s="47">
        <f t="shared" si="18"/>
        <v>0.11269230769230767</v>
      </c>
      <c r="BD10" s="46">
        <v>0.49199999999999999</v>
      </c>
      <c r="BE10" s="47">
        <f t="shared" si="19"/>
        <v>9.4615384615384615E-2</v>
      </c>
      <c r="BF10" s="46">
        <v>0.32</v>
      </c>
      <c r="BG10" s="47">
        <f t="shared" si="20"/>
        <v>6.1538461538461535E-2</v>
      </c>
      <c r="BH10" s="46">
        <v>0.28499999999999998</v>
      </c>
      <c r="BI10" s="47">
        <f t="shared" si="21"/>
        <v>5.48076923076923E-2</v>
      </c>
      <c r="BJ10" s="36" t="s">
        <v>42</v>
      </c>
      <c r="BN10" s="50"/>
    </row>
    <row r="11" spans="1:66">
      <c r="A11" s="37" t="s">
        <v>39</v>
      </c>
      <c r="B11" s="38" t="s">
        <v>58</v>
      </c>
      <c r="C11" s="39">
        <v>26</v>
      </c>
      <c r="D11" s="40" t="s">
        <v>59</v>
      </c>
      <c r="E11" s="41">
        <v>5.0999999999999996</v>
      </c>
      <c r="F11" s="42">
        <v>5.0999999999999996</v>
      </c>
      <c r="G11" s="42">
        <v>5.0999999999999996</v>
      </c>
      <c r="H11" s="42">
        <v>5.0999999999999996</v>
      </c>
      <c r="I11" s="42">
        <v>5.0999999999999996</v>
      </c>
      <c r="J11" s="42">
        <v>5.0999999999999996</v>
      </c>
      <c r="K11" s="42">
        <v>5.0999999999999996</v>
      </c>
      <c r="L11" s="43">
        <v>5.0999999999999996</v>
      </c>
      <c r="M11" s="44">
        <v>5.0999999999999996</v>
      </c>
      <c r="N11" s="44">
        <v>5.0999999999999996</v>
      </c>
      <c r="O11" s="45">
        <v>5.0999999999999996</v>
      </c>
      <c r="P11" s="45">
        <v>5.0999999999999996</v>
      </c>
      <c r="Q11" s="45">
        <v>5.0999999999999996</v>
      </c>
      <c r="R11" s="46">
        <v>3.4279999999999999</v>
      </c>
      <c r="S11" s="47">
        <f t="shared" si="0"/>
        <v>0.67215686274509812</v>
      </c>
      <c r="T11" s="46">
        <v>4.0490000000000004</v>
      </c>
      <c r="U11" s="47">
        <f t="shared" si="1"/>
        <v>0.79392156862745111</v>
      </c>
      <c r="V11" s="46">
        <v>4.3220000000000001</v>
      </c>
      <c r="W11" s="47">
        <f t="shared" si="2"/>
        <v>0.84745098039215694</v>
      </c>
      <c r="X11" s="46">
        <v>4.4329999999999998</v>
      </c>
      <c r="Y11" s="47">
        <f t="shared" si="3"/>
        <v>0.86921568627450985</v>
      </c>
      <c r="Z11" s="46">
        <v>4.6399999999999997</v>
      </c>
      <c r="AA11" s="47">
        <f t="shared" si="4"/>
        <v>0.90980392156862744</v>
      </c>
      <c r="AB11" s="46">
        <v>4.55</v>
      </c>
      <c r="AC11" s="47">
        <f t="shared" si="5"/>
        <v>0.89215686274509809</v>
      </c>
      <c r="AD11" s="46">
        <v>4.5229999999999997</v>
      </c>
      <c r="AE11" s="47">
        <f t="shared" si="6"/>
        <v>0.8868627450980392</v>
      </c>
      <c r="AF11" s="46">
        <v>4.4720000000000004</v>
      </c>
      <c r="AG11" s="47">
        <f t="shared" si="7"/>
        <v>0.87686274509803941</v>
      </c>
      <c r="AH11" s="46">
        <v>4.0819999999999999</v>
      </c>
      <c r="AI11" s="47">
        <f t="shared" si="8"/>
        <v>0.80039215686274512</v>
      </c>
      <c r="AJ11" s="46">
        <v>3.5670000000000002</v>
      </c>
      <c r="AK11" s="47">
        <f t="shared" si="9"/>
        <v>0.6994117647058824</v>
      </c>
      <c r="AL11" s="46">
        <v>2.7240000000000002</v>
      </c>
      <c r="AM11" s="47">
        <f t="shared" si="10"/>
        <v>0.53411764705882359</v>
      </c>
      <c r="AN11" s="46">
        <v>1.827</v>
      </c>
      <c r="AO11" s="47">
        <f t="shared" si="11"/>
        <v>0.3582352941176471</v>
      </c>
      <c r="AP11" s="46">
        <v>1.5569999999999999</v>
      </c>
      <c r="AQ11" s="47">
        <f t="shared" si="12"/>
        <v>0.30529411764705883</v>
      </c>
      <c r="AR11" s="46">
        <v>0.94</v>
      </c>
      <c r="AS11" s="47">
        <f t="shared" si="13"/>
        <v>0.18431372549019609</v>
      </c>
      <c r="AT11" s="46">
        <v>0.82</v>
      </c>
      <c r="AU11" s="47">
        <f t="shared" si="14"/>
        <v>0.16078431372549021</v>
      </c>
      <c r="AV11" s="46">
        <v>0.77300000000000002</v>
      </c>
      <c r="AW11" s="47">
        <f t="shared" si="15"/>
        <v>0.1515686274509804</v>
      </c>
      <c r="AX11" s="46">
        <v>0.68799999999999994</v>
      </c>
      <c r="AY11" s="47">
        <f t="shared" si="16"/>
        <v>0.13490196078431371</v>
      </c>
      <c r="AZ11" s="46">
        <v>0.68200000000000005</v>
      </c>
      <c r="BA11" s="47">
        <f t="shared" si="17"/>
        <v>0.13372549019607846</v>
      </c>
      <c r="BB11" s="46">
        <v>0.66600000000000004</v>
      </c>
      <c r="BC11" s="47">
        <f t="shared" si="18"/>
        <v>0.13058823529411767</v>
      </c>
      <c r="BD11" s="46">
        <v>0.65800000000000003</v>
      </c>
      <c r="BE11" s="47">
        <f t="shared" si="19"/>
        <v>0.12901960784313726</v>
      </c>
      <c r="BF11" s="46">
        <v>0.63</v>
      </c>
      <c r="BG11" s="47">
        <f t="shared" si="20"/>
        <v>0.12352941176470589</v>
      </c>
      <c r="BH11" s="46">
        <v>0.77500000000000002</v>
      </c>
      <c r="BI11" s="47">
        <f t="shared" si="21"/>
        <v>0.15196078431372551</v>
      </c>
      <c r="BJ11" s="36" t="s">
        <v>42</v>
      </c>
      <c r="BN11" s="50"/>
    </row>
    <row r="12" spans="1:66">
      <c r="A12" s="51" t="s">
        <v>39</v>
      </c>
      <c r="B12" s="52" t="s">
        <v>60</v>
      </c>
      <c r="C12" s="53">
        <v>62</v>
      </c>
      <c r="D12" s="54" t="s">
        <v>61</v>
      </c>
      <c r="E12" s="55"/>
      <c r="F12" s="56"/>
      <c r="G12" s="56"/>
      <c r="H12" s="56"/>
      <c r="I12" s="56"/>
      <c r="J12" s="56"/>
      <c r="K12" s="56"/>
      <c r="L12" s="57"/>
      <c r="M12" s="58"/>
      <c r="N12" s="58"/>
      <c r="O12" s="59"/>
      <c r="P12" s="59"/>
      <c r="Q12" s="59">
        <v>1.2</v>
      </c>
      <c r="R12" s="60">
        <v>1.1890000000000001</v>
      </c>
      <c r="S12" s="47">
        <f t="shared" si="0"/>
        <v>0.99083333333333345</v>
      </c>
      <c r="T12" s="60">
        <v>1.2</v>
      </c>
      <c r="U12" s="47">
        <f t="shared" si="1"/>
        <v>1</v>
      </c>
      <c r="V12" s="60">
        <v>1.2</v>
      </c>
      <c r="W12" s="47">
        <f t="shared" si="2"/>
        <v>1</v>
      </c>
      <c r="X12" s="60">
        <v>1.2</v>
      </c>
      <c r="Y12" s="47">
        <f t="shared" si="3"/>
        <v>1</v>
      </c>
      <c r="Z12" s="60">
        <v>1.2</v>
      </c>
      <c r="AA12" s="47">
        <f t="shared" si="4"/>
        <v>1</v>
      </c>
      <c r="AB12" s="60">
        <v>1.153</v>
      </c>
      <c r="AC12" s="47">
        <f t="shared" si="5"/>
        <v>0.96083333333333343</v>
      </c>
      <c r="AD12" s="60">
        <v>1.1519999999999999</v>
      </c>
      <c r="AE12" s="47">
        <f t="shared" si="6"/>
        <v>0.96</v>
      </c>
      <c r="AF12" s="60">
        <v>1.1579999999999999</v>
      </c>
      <c r="AG12" s="61">
        <f t="shared" si="7"/>
        <v>0.96499999999999997</v>
      </c>
      <c r="AH12" s="60">
        <v>1.0940000000000001</v>
      </c>
      <c r="AI12" s="61">
        <f t="shared" si="8"/>
        <v>0.91166666666666674</v>
      </c>
      <c r="AJ12" s="60">
        <v>1.0349999999999999</v>
      </c>
      <c r="AK12" s="61">
        <f t="shared" si="9"/>
        <v>0.86249999999999993</v>
      </c>
      <c r="AL12" s="60">
        <v>0.88100000000000001</v>
      </c>
      <c r="AM12" s="61">
        <f t="shared" si="10"/>
        <v>0.73416666666666675</v>
      </c>
      <c r="AN12" s="60">
        <v>0.56299999999999994</v>
      </c>
      <c r="AO12" s="61">
        <f t="shared" si="11"/>
        <v>0.46916666666666662</v>
      </c>
      <c r="AP12" s="60">
        <v>0.33700000000000002</v>
      </c>
      <c r="AQ12" s="61">
        <f t="shared" si="12"/>
        <v>0.28083333333333338</v>
      </c>
      <c r="AR12" s="60">
        <v>0.125</v>
      </c>
      <c r="AS12" s="61">
        <f t="shared" si="13"/>
        <v>0.10416666666666667</v>
      </c>
      <c r="AT12" s="60">
        <v>0.13</v>
      </c>
      <c r="AU12" s="61">
        <f t="shared" si="14"/>
        <v>0.10833333333333334</v>
      </c>
      <c r="AV12" s="60">
        <v>0.129</v>
      </c>
      <c r="AW12" s="61">
        <f t="shared" si="15"/>
        <v>0.10750000000000001</v>
      </c>
      <c r="AX12" s="60">
        <v>0.125</v>
      </c>
      <c r="AY12" s="61">
        <f t="shared" si="16"/>
        <v>0.10416666666666667</v>
      </c>
      <c r="AZ12" s="60">
        <v>0.157</v>
      </c>
      <c r="BA12" s="61">
        <f t="shared" si="17"/>
        <v>0.13083333333333333</v>
      </c>
      <c r="BB12" s="60">
        <v>0.161</v>
      </c>
      <c r="BC12" s="61">
        <f t="shared" si="18"/>
        <v>0.13416666666666668</v>
      </c>
      <c r="BD12" s="60">
        <v>0.16700000000000001</v>
      </c>
      <c r="BE12" s="61">
        <f t="shared" si="19"/>
        <v>0.13916666666666669</v>
      </c>
      <c r="BF12" s="60">
        <v>0.17</v>
      </c>
      <c r="BG12" s="61">
        <f t="shared" si="20"/>
        <v>0.14166666666666669</v>
      </c>
      <c r="BH12" s="60">
        <v>0.252</v>
      </c>
      <c r="BI12" s="61">
        <f t="shared" si="21"/>
        <v>0.21000000000000002</v>
      </c>
      <c r="BJ12" s="36" t="s">
        <v>42</v>
      </c>
      <c r="BN12" s="50"/>
    </row>
    <row r="13" spans="1:66">
      <c r="A13" s="51" t="s">
        <v>39</v>
      </c>
      <c r="B13" s="52" t="s">
        <v>62</v>
      </c>
      <c r="C13" s="53">
        <v>21</v>
      </c>
      <c r="D13" s="54" t="s">
        <v>63</v>
      </c>
      <c r="E13" s="55">
        <v>2.5</v>
      </c>
      <c r="F13" s="56">
        <v>2.5</v>
      </c>
      <c r="G13" s="56">
        <v>2.5</v>
      </c>
      <c r="H13" s="56">
        <v>2.5</v>
      </c>
      <c r="I13" s="56">
        <v>2.5</v>
      </c>
      <c r="J13" s="56">
        <v>2.5</v>
      </c>
      <c r="K13" s="56">
        <v>2.5</v>
      </c>
      <c r="L13" s="57">
        <v>2.5</v>
      </c>
      <c r="M13" s="58">
        <v>2.5</v>
      </c>
      <c r="N13" s="58">
        <v>2.5</v>
      </c>
      <c r="O13" s="59">
        <v>2.5</v>
      </c>
      <c r="P13" s="59">
        <v>2.5</v>
      </c>
      <c r="Q13" s="59">
        <v>2.5</v>
      </c>
      <c r="R13" s="60">
        <v>0.873</v>
      </c>
      <c r="S13" s="61">
        <f t="shared" si="0"/>
        <v>0.34920000000000001</v>
      </c>
      <c r="T13" s="60">
        <v>1.5569999999999999</v>
      </c>
      <c r="U13" s="61">
        <f t="shared" si="1"/>
        <v>0.62280000000000002</v>
      </c>
      <c r="V13" s="60">
        <v>1.714</v>
      </c>
      <c r="W13" s="61">
        <f t="shared" si="2"/>
        <v>0.68559999999999999</v>
      </c>
      <c r="X13" s="60">
        <v>1.8029999999999999</v>
      </c>
      <c r="Y13" s="61">
        <f t="shared" si="3"/>
        <v>0.72119999999999995</v>
      </c>
      <c r="Z13" s="60">
        <v>1.9670000000000001</v>
      </c>
      <c r="AA13" s="61">
        <f t="shared" si="4"/>
        <v>0.78680000000000005</v>
      </c>
      <c r="AB13" s="60">
        <v>1.91</v>
      </c>
      <c r="AC13" s="61">
        <f t="shared" si="5"/>
        <v>0.76400000000000001</v>
      </c>
      <c r="AD13" s="60">
        <v>1.8879999999999999</v>
      </c>
      <c r="AE13" s="61">
        <f t="shared" si="6"/>
        <v>0.75519999999999998</v>
      </c>
      <c r="AF13" s="60">
        <v>1.8620000000000001</v>
      </c>
      <c r="AG13" s="61">
        <f t="shared" si="7"/>
        <v>0.74480000000000002</v>
      </c>
      <c r="AH13" s="60">
        <v>1.827</v>
      </c>
      <c r="AI13" s="61">
        <f t="shared" si="8"/>
        <v>0.73080000000000001</v>
      </c>
      <c r="AJ13" s="60">
        <v>1.524</v>
      </c>
      <c r="AK13" s="61">
        <f t="shared" si="9"/>
        <v>0.60960000000000003</v>
      </c>
      <c r="AL13" s="60">
        <v>1.1479999999999999</v>
      </c>
      <c r="AM13" s="61">
        <f t="shared" si="10"/>
        <v>0.45919999999999994</v>
      </c>
      <c r="AN13" s="60">
        <v>0.39300000000000002</v>
      </c>
      <c r="AO13" s="61">
        <f t="shared" si="11"/>
        <v>0.15720000000000001</v>
      </c>
      <c r="AP13" s="60">
        <v>0.19600000000000001</v>
      </c>
      <c r="AQ13" s="61">
        <f t="shared" si="12"/>
        <v>7.8399999999999997E-2</v>
      </c>
      <c r="AR13" s="60">
        <v>0.16900000000000001</v>
      </c>
      <c r="AS13" s="61">
        <f t="shared" si="13"/>
        <v>6.7600000000000007E-2</v>
      </c>
      <c r="AT13" s="60">
        <v>0.16</v>
      </c>
      <c r="AU13" s="61">
        <f t="shared" si="14"/>
        <v>6.4000000000000001E-2</v>
      </c>
      <c r="AV13" s="60">
        <v>0.14599999999999999</v>
      </c>
      <c r="AW13" s="61">
        <f t="shared" si="15"/>
        <v>5.8399999999999994E-2</v>
      </c>
      <c r="AX13" s="60">
        <v>0.124</v>
      </c>
      <c r="AY13" s="61">
        <f t="shared" si="16"/>
        <v>4.9599999999999998E-2</v>
      </c>
      <c r="AZ13" s="60">
        <v>0.114</v>
      </c>
      <c r="BA13" s="61">
        <f t="shared" si="17"/>
        <v>4.5600000000000002E-2</v>
      </c>
      <c r="BB13" s="60">
        <v>0.11</v>
      </c>
      <c r="BC13" s="61">
        <f t="shared" si="18"/>
        <v>4.3999999999999997E-2</v>
      </c>
      <c r="BD13" s="60">
        <v>0.109</v>
      </c>
      <c r="BE13" s="61">
        <f t="shared" si="19"/>
        <v>4.36E-2</v>
      </c>
      <c r="BF13" s="60">
        <v>0.1</v>
      </c>
      <c r="BG13" s="61">
        <f t="shared" si="20"/>
        <v>0.04</v>
      </c>
      <c r="BH13" s="60">
        <v>0.129</v>
      </c>
      <c r="BI13" s="61">
        <f t="shared" si="21"/>
        <v>5.16E-2</v>
      </c>
      <c r="BJ13" s="36" t="s">
        <v>42</v>
      </c>
      <c r="BN13" s="50"/>
    </row>
    <row r="14" spans="1:66" s="73" customFormat="1" ht="13.5" customHeight="1">
      <c r="A14" s="452" t="s">
        <v>64</v>
      </c>
      <c r="B14" s="452"/>
      <c r="C14" s="62"/>
      <c r="D14" s="63"/>
      <c r="E14" s="64">
        <f t="shared" ref="E14:O14" si="22">SUM(E2:E13)</f>
        <v>68.856000000000009</v>
      </c>
      <c r="F14" s="65">
        <f t="shared" si="22"/>
        <v>68.856000000000009</v>
      </c>
      <c r="G14" s="65">
        <f t="shared" si="22"/>
        <v>68.795000000000002</v>
      </c>
      <c r="H14" s="65">
        <f t="shared" si="22"/>
        <v>68.795000000000002</v>
      </c>
      <c r="I14" s="65">
        <f t="shared" si="22"/>
        <v>68.795000000000002</v>
      </c>
      <c r="J14" s="65">
        <f t="shared" si="22"/>
        <v>68.795000000000002</v>
      </c>
      <c r="K14" s="65">
        <f t="shared" si="22"/>
        <v>68.795000000000002</v>
      </c>
      <c r="L14" s="66">
        <f t="shared" si="22"/>
        <v>68.795000000000002</v>
      </c>
      <c r="M14" s="67">
        <f t="shared" si="22"/>
        <v>68.795000000000002</v>
      </c>
      <c r="N14" s="67">
        <f t="shared" si="22"/>
        <v>68.795000000000002</v>
      </c>
      <c r="O14" s="68">
        <f t="shared" si="22"/>
        <v>68.795000000000002</v>
      </c>
      <c r="P14" s="68">
        <v>68.795000000000002</v>
      </c>
      <c r="Q14" s="68">
        <f>SUM(Q2:Q13)</f>
        <v>69.995000000000005</v>
      </c>
      <c r="R14" s="69">
        <v>57.034999999999997</v>
      </c>
      <c r="S14" s="70">
        <f t="shared" si="0"/>
        <v>0.81484391742267293</v>
      </c>
      <c r="T14" s="69">
        <v>62.405000000000001</v>
      </c>
      <c r="U14" s="70">
        <f t="shared" si="1"/>
        <v>0.89156368312022283</v>
      </c>
      <c r="V14" s="69">
        <v>63.322000000000003</v>
      </c>
      <c r="W14" s="70">
        <f t="shared" si="2"/>
        <v>0.90466461890135008</v>
      </c>
      <c r="X14" s="69">
        <v>64.144999999999996</v>
      </c>
      <c r="Y14" s="70">
        <f t="shared" si="3"/>
        <v>0.91642260161440092</v>
      </c>
      <c r="Z14" s="69">
        <v>65.563999999999993</v>
      </c>
      <c r="AA14" s="70">
        <f t="shared" si="4"/>
        <v>0.93669547824844612</v>
      </c>
      <c r="AB14" s="69">
        <v>66.206000000000003</v>
      </c>
      <c r="AC14" s="70">
        <f t="shared" si="5"/>
        <v>0.94586756196871202</v>
      </c>
      <c r="AD14" s="69">
        <v>66.033000000000001</v>
      </c>
      <c r="AE14" s="70">
        <f t="shared" si="6"/>
        <v>0.94339595685406097</v>
      </c>
      <c r="AF14" s="69">
        <v>65.180999999999997</v>
      </c>
      <c r="AG14" s="70">
        <f t="shared" si="7"/>
        <v>0.93122365883277369</v>
      </c>
      <c r="AH14" s="69">
        <v>60.548000000000002</v>
      </c>
      <c r="AI14" s="70">
        <f t="shared" si="8"/>
        <v>0.86503321665833266</v>
      </c>
      <c r="AJ14" s="69">
        <v>55.265000000000001</v>
      </c>
      <c r="AK14" s="70">
        <f t="shared" si="9"/>
        <v>0.78955639688549173</v>
      </c>
      <c r="AL14" s="69">
        <v>46.582000000000001</v>
      </c>
      <c r="AM14" s="70">
        <f t="shared" si="10"/>
        <v>0.66550467890563614</v>
      </c>
      <c r="AN14" s="69">
        <v>32.402999999999999</v>
      </c>
      <c r="AO14" s="70">
        <f t="shared" si="11"/>
        <v>0.46293306664761763</v>
      </c>
      <c r="AP14" s="69">
        <v>25.952000000000002</v>
      </c>
      <c r="AQ14" s="70">
        <f t="shared" si="12"/>
        <v>0.37076934066719053</v>
      </c>
      <c r="AR14" s="69">
        <v>17.173999999999999</v>
      </c>
      <c r="AS14" s="70">
        <f t="shared" si="13"/>
        <v>0.24536038288449172</v>
      </c>
      <c r="AT14" s="69">
        <v>15.27</v>
      </c>
      <c r="AU14" s="70">
        <f t="shared" si="14"/>
        <v>0.21815843988856345</v>
      </c>
      <c r="AV14" s="69">
        <v>13.741</v>
      </c>
      <c r="AW14" s="70">
        <f t="shared" si="15"/>
        <v>0.19631402243017357</v>
      </c>
      <c r="AX14" s="69">
        <v>11.667999999999999</v>
      </c>
      <c r="AY14" s="70">
        <f t="shared" si="16"/>
        <v>0.1666976212586613</v>
      </c>
      <c r="AZ14" s="69">
        <v>11.368</v>
      </c>
      <c r="BA14" s="70">
        <f t="shared" si="17"/>
        <v>0.1624116008286306</v>
      </c>
      <c r="BB14" s="69">
        <v>11.137</v>
      </c>
      <c r="BC14" s="70">
        <f t="shared" si="18"/>
        <v>0.15911136509750695</v>
      </c>
      <c r="BD14" s="69">
        <v>10.894</v>
      </c>
      <c r="BE14" s="70">
        <f t="shared" si="19"/>
        <v>0.15563968854918209</v>
      </c>
      <c r="BF14" s="69">
        <f>SUM(BF2:BF13)</f>
        <v>10.33</v>
      </c>
      <c r="BG14" s="70">
        <f t="shared" si="20"/>
        <v>0.14758197014072433</v>
      </c>
      <c r="BH14" s="69">
        <f>SUM(BH2:BH13)</f>
        <v>16.118000000000002</v>
      </c>
      <c r="BI14" s="70">
        <f t="shared" si="21"/>
        <v>0.23027359097078365</v>
      </c>
      <c r="BJ14" s="71"/>
      <c r="BK14" s="72"/>
      <c r="BN14" s="50"/>
    </row>
    <row r="15" spans="1:66" ht="6.75" customHeight="1">
      <c r="A15" s="74"/>
      <c r="B15" s="74"/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8"/>
      <c r="N15" s="78"/>
      <c r="O15" s="79"/>
      <c r="P15" s="79"/>
      <c r="Q15" s="79"/>
      <c r="R15" s="80"/>
      <c r="S15" s="81"/>
      <c r="T15" s="80"/>
      <c r="U15" s="81"/>
      <c r="V15" s="80"/>
      <c r="W15" s="81"/>
      <c r="X15" s="80"/>
      <c r="Y15" s="81"/>
      <c r="Z15" s="80"/>
      <c r="AA15" s="81"/>
      <c r="AB15" s="80"/>
      <c r="AC15" s="81"/>
      <c r="AD15" s="80"/>
      <c r="AE15" s="81"/>
      <c r="AF15" s="80"/>
      <c r="AG15" s="81"/>
      <c r="AH15" s="80"/>
      <c r="AI15" s="81"/>
      <c r="AJ15" s="80"/>
      <c r="AK15" s="81"/>
      <c r="AL15" s="80"/>
      <c r="AM15" s="81"/>
      <c r="AN15" s="80"/>
      <c r="AO15" s="81"/>
      <c r="AP15" s="80"/>
      <c r="AQ15" s="81"/>
      <c r="AR15" s="80"/>
      <c r="AS15" s="81"/>
      <c r="AT15" s="80"/>
      <c r="AU15" s="81"/>
      <c r="AV15" s="80"/>
      <c r="AW15" s="81"/>
      <c r="AX15" s="80"/>
      <c r="AY15" s="81"/>
      <c r="AZ15" s="80"/>
      <c r="BA15" s="81"/>
      <c r="BB15" s="80"/>
      <c r="BC15" s="81"/>
      <c r="BD15" s="80"/>
      <c r="BE15" s="81"/>
      <c r="BF15" s="80"/>
      <c r="BG15" s="81"/>
      <c r="BH15" s="80"/>
      <c r="BI15" s="81"/>
      <c r="BJ15" s="82"/>
      <c r="BN15" s="50"/>
    </row>
    <row r="16" spans="1:66" s="73" customFormat="1">
      <c r="A16" s="83" t="s">
        <v>65</v>
      </c>
      <c r="B16" s="84" t="s">
        <v>66</v>
      </c>
      <c r="C16" s="85">
        <v>1</v>
      </c>
      <c r="D16" s="86" t="s">
        <v>65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1">
        <v>20.37</v>
      </c>
      <c r="S16" s="92">
        <f>R16/$Q16</f>
        <v>0.96084905660377362</v>
      </c>
      <c r="T16" s="91">
        <v>20.95</v>
      </c>
      <c r="U16" s="92">
        <f>T16/$Q16</f>
        <v>0.9882075471698113</v>
      </c>
      <c r="V16" s="91">
        <v>21.31</v>
      </c>
      <c r="W16" s="92">
        <f>V16/$Q16</f>
        <v>1.0051886792452831</v>
      </c>
      <c r="X16" s="91">
        <v>21.29</v>
      </c>
      <c r="Y16" s="70">
        <f>X16/$Q16</f>
        <v>1.004245283018868</v>
      </c>
      <c r="Z16" s="91">
        <v>21.32</v>
      </c>
      <c r="AA16" s="92">
        <f>Z16/$Q16</f>
        <v>1.0056603773584907</v>
      </c>
      <c r="AB16" s="91">
        <v>20.85</v>
      </c>
      <c r="AC16" s="92">
        <f>AB16/$Q16</f>
        <v>0.98349056603773599</v>
      </c>
      <c r="AD16" s="91">
        <v>21.02</v>
      </c>
      <c r="AE16" s="92">
        <f>AD16/$Q16</f>
        <v>0.99150943396226421</v>
      </c>
      <c r="AF16" s="91">
        <v>20.39</v>
      </c>
      <c r="AG16" s="92">
        <f>AF16/$Q16</f>
        <v>0.96179245283018877</v>
      </c>
      <c r="AH16" s="91">
        <v>20.190000000000001</v>
      </c>
      <c r="AI16" s="92">
        <f>AH16/$Q16</f>
        <v>0.95235849056603783</v>
      </c>
      <c r="AJ16" s="91">
        <v>19.68</v>
      </c>
      <c r="AK16" s="92">
        <f>AJ16/$Q16</f>
        <v>0.92830188679245285</v>
      </c>
      <c r="AL16" s="91">
        <v>16.95</v>
      </c>
      <c r="AM16" s="92">
        <f>AL16/$Q16</f>
        <v>0.79952830188679247</v>
      </c>
      <c r="AN16" s="91">
        <v>13.58</v>
      </c>
      <c r="AO16" s="92">
        <f>AN16/$Q16</f>
        <v>0.64056603773584908</v>
      </c>
      <c r="AP16" s="91">
        <v>11.19</v>
      </c>
      <c r="AQ16" s="92">
        <f>AP16/$Q16</f>
        <v>0.52783018867924525</v>
      </c>
      <c r="AR16" s="91"/>
      <c r="AS16" s="92">
        <f>AR16/$Q16</f>
        <v>0</v>
      </c>
      <c r="AT16" s="91">
        <v>5.95</v>
      </c>
      <c r="AU16" s="92">
        <f>AT16/$Q16</f>
        <v>0.28066037735849059</v>
      </c>
      <c r="AV16" s="91">
        <v>4.83</v>
      </c>
      <c r="AW16" s="92">
        <f>AV16/$Q16</f>
        <v>0.22783018867924529</v>
      </c>
      <c r="AX16" s="91">
        <v>3.89</v>
      </c>
      <c r="AY16" s="92">
        <f>AX16/$Q16</f>
        <v>0.18349056603773586</v>
      </c>
      <c r="AZ16" s="91">
        <v>2.14</v>
      </c>
      <c r="BA16" s="92">
        <f>AZ16/$Q16</f>
        <v>0.1009433962264151</v>
      </c>
      <c r="BB16" s="91">
        <v>2.97</v>
      </c>
      <c r="BC16" s="92">
        <f>BB16/$Q16</f>
        <v>0.14009433962264153</v>
      </c>
      <c r="BD16" s="91">
        <v>2.82</v>
      </c>
      <c r="BE16" s="92">
        <f>BD16/$Q16</f>
        <v>0.1330188679245283</v>
      </c>
      <c r="BF16" s="91">
        <f>1.35+1.25</f>
        <v>2.6</v>
      </c>
      <c r="BG16" s="92">
        <f>BF16/$Q16</f>
        <v>0.12264150943396228</v>
      </c>
      <c r="BH16" s="91">
        <f>1.36+1.43</f>
        <v>2.79</v>
      </c>
      <c r="BI16" s="92">
        <f>BH16/$Q16</f>
        <v>0.13160377358490566</v>
      </c>
      <c r="BJ16" s="36" t="s">
        <v>67</v>
      </c>
      <c r="BK16" s="12"/>
      <c r="BN16" s="50"/>
    </row>
    <row r="17" spans="1:66" ht="6.75" customHeight="1">
      <c r="A17" s="93"/>
      <c r="B17" s="93"/>
      <c r="C17" s="94"/>
      <c r="D17" s="95"/>
      <c r="E17" s="96"/>
      <c r="F17" s="96"/>
      <c r="G17" s="96"/>
      <c r="H17" s="96"/>
      <c r="I17" s="96"/>
      <c r="J17" s="96"/>
      <c r="K17" s="96"/>
      <c r="L17" s="96"/>
      <c r="M17" s="78"/>
      <c r="N17" s="78"/>
      <c r="O17" s="79"/>
      <c r="P17" s="79"/>
      <c r="Q17" s="79"/>
      <c r="R17" s="80"/>
      <c r="S17" s="81"/>
      <c r="T17" s="80"/>
      <c r="U17" s="81"/>
      <c r="V17" s="80"/>
      <c r="W17" s="81"/>
      <c r="X17" s="80"/>
      <c r="Y17" s="81"/>
      <c r="Z17" s="80"/>
      <c r="AA17" s="81"/>
      <c r="AB17" s="80"/>
      <c r="AC17" s="81"/>
      <c r="AD17" s="80"/>
      <c r="AE17" s="81"/>
      <c r="AF17" s="80"/>
      <c r="AG17" s="81"/>
      <c r="AH17" s="80"/>
      <c r="AI17" s="81"/>
      <c r="AJ17" s="80"/>
      <c r="AK17" s="81"/>
      <c r="AL17" s="80"/>
      <c r="AM17" s="81"/>
      <c r="AN17" s="80"/>
      <c r="AO17" s="81"/>
      <c r="AP17" s="80"/>
      <c r="AQ17" s="81"/>
      <c r="AR17" s="80"/>
      <c r="AS17" s="81"/>
      <c r="AT17" s="80"/>
      <c r="AU17" s="81"/>
      <c r="AV17" s="80"/>
      <c r="AW17" s="81"/>
      <c r="AX17" s="80"/>
      <c r="AY17" s="81"/>
      <c r="AZ17" s="80"/>
      <c r="BA17" s="81"/>
      <c r="BB17" s="80"/>
      <c r="BC17" s="81"/>
      <c r="BD17" s="80"/>
      <c r="BE17" s="81"/>
      <c r="BF17" s="80"/>
      <c r="BG17" s="81"/>
      <c r="BH17" s="80"/>
      <c r="BI17" s="81"/>
      <c r="BJ17" s="82"/>
      <c r="BN17" s="50"/>
    </row>
    <row r="18" spans="1:66" s="73" customFormat="1">
      <c r="A18" s="97" t="s">
        <v>68</v>
      </c>
      <c r="B18" s="38" t="s">
        <v>69</v>
      </c>
      <c r="C18" s="39">
        <v>2</v>
      </c>
      <c r="D18" s="98" t="s">
        <v>70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9">
        <v>5</v>
      </c>
      <c r="N18" s="99">
        <v>4.9524999999999997</v>
      </c>
      <c r="O18" s="100">
        <v>4.9524999999999997</v>
      </c>
      <c r="P18" s="100">
        <v>4.9524999999999997</v>
      </c>
      <c r="Q18" s="100">
        <v>4.9524999999999997</v>
      </c>
      <c r="R18" s="91">
        <v>4.99</v>
      </c>
      <c r="S18" s="92">
        <f>R18/$Q18</f>
        <v>1.0075719333669866</v>
      </c>
      <c r="T18" s="91">
        <v>4.9160000000000004</v>
      </c>
      <c r="U18" s="92">
        <f>T18/$Q18</f>
        <v>0.99262998485613341</v>
      </c>
      <c r="V18" s="91">
        <v>4.9690000000000003</v>
      </c>
      <c r="W18" s="92">
        <f>V18/$Q18</f>
        <v>1.0033316506814742</v>
      </c>
      <c r="X18" s="91">
        <v>4.9770000000000003</v>
      </c>
      <c r="Y18" s="92">
        <f>X18/$Q18</f>
        <v>1.0049469964664313</v>
      </c>
      <c r="Z18" s="91">
        <v>4.976</v>
      </c>
      <c r="AA18" s="92">
        <f>Z18/$Q18</f>
        <v>1.0047450782433116</v>
      </c>
      <c r="AB18" s="91">
        <v>4.9459999999999997</v>
      </c>
      <c r="AC18" s="92">
        <f>AB18/$Q18</f>
        <v>0.99868753154972234</v>
      </c>
      <c r="AD18" s="437"/>
      <c r="AE18" s="438"/>
      <c r="AF18" s="91">
        <v>4.9180000000000001</v>
      </c>
      <c r="AG18" s="92">
        <f>AF18/$Q18</f>
        <v>0.99303382130237261</v>
      </c>
      <c r="AH18" s="91">
        <v>4.9429999999999996</v>
      </c>
      <c r="AI18" s="92">
        <f>AH18/$Q18</f>
        <v>0.99808177688036348</v>
      </c>
      <c r="AJ18" s="91">
        <v>4.8979999999999997</v>
      </c>
      <c r="AK18" s="92">
        <f>AJ18/$Q18</f>
        <v>0.9889954568399798</v>
      </c>
      <c r="AL18" s="91">
        <v>4.7720000000000002</v>
      </c>
      <c r="AM18" s="92">
        <f>AL18/$Q18</f>
        <v>0.96355376072690568</v>
      </c>
      <c r="AN18" s="91">
        <v>4.4119999999999999</v>
      </c>
      <c r="AO18" s="92">
        <f>AN18/$Q18</f>
        <v>0.89086320040383649</v>
      </c>
      <c r="AP18" s="91">
        <v>3.5169999999999999</v>
      </c>
      <c r="AQ18" s="92">
        <f>AP18/$Q18</f>
        <v>0.71014639071176178</v>
      </c>
      <c r="AR18" s="91">
        <v>2.9380000000000002</v>
      </c>
      <c r="AS18" s="92">
        <f>AR18/$Q18</f>
        <v>0.59323573952549224</v>
      </c>
      <c r="AT18" s="91">
        <v>2.48</v>
      </c>
      <c r="AU18" s="92">
        <f>AT18/$Q18</f>
        <v>0.50075719333669866</v>
      </c>
      <c r="AV18" s="91">
        <v>2.2469999999999999</v>
      </c>
      <c r="AW18" s="92">
        <f>AV18/$Q18</f>
        <v>0.45371024734982335</v>
      </c>
      <c r="AX18" s="91">
        <v>1.9830000000000001</v>
      </c>
      <c r="AY18" s="92">
        <f>AX18/$Q18</f>
        <v>0.40040383644623934</v>
      </c>
      <c r="AZ18" s="91">
        <v>1.87</v>
      </c>
      <c r="BA18" s="92">
        <f>AZ18/$Q18</f>
        <v>0.37758707723372037</v>
      </c>
      <c r="BB18" s="91">
        <v>1.9</v>
      </c>
      <c r="BC18" s="92">
        <f>BB18/$Q18</f>
        <v>0.38364462392730947</v>
      </c>
      <c r="BD18" s="91">
        <v>1.8879999999999999</v>
      </c>
      <c r="BE18" s="92">
        <f>BD18/$Q18</f>
        <v>0.38122160524987381</v>
      </c>
      <c r="BF18" s="91">
        <v>1.88</v>
      </c>
      <c r="BG18" s="92">
        <f>BF18/$Q18</f>
        <v>0.37960625946491672</v>
      </c>
      <c r="BH18" s="91">
        <v>2.0249999999999999</v>
      </c>
      <c r="BI18" s="92">
        <f>BH18/$Q18</f>
        <v>0.40888440181726404</v>
      </c>
      <c r="BJ18" s="101" t="s">
        <v>71</v>
      </c>
      <c r="BK18" s="72"/>
      <c r="BN18" s="50"/>
    </row>
    <row r="19" spans="1:66" ht="7.5" customHeight="1">
      <c r="A19" s="102"/>
      <c r="B19" s="102"/>
      <c r="C19" s="103"/>
      <c r="D19" s="104"/>
      <c r="E19" s="96"/>
      <c r="F19" s="96"/>
      <c r="G19" s="96"/>
      <c r="H19" s="96"/>
      <c r="I19" s="96"/>
      <c r="J19" s="96"/>
      <c r="K19" s="96"/>
      <c r="L19" s="105"/>
      <c r="M19" s="106"/>
      <c r="N19" s="106"/>
      <c r="O19" s="107"/>
      <c r="P19" s="107"/>
      <c r="Q19" s="107"/>
      <c r="R19" s="80"/>
      <c r="S19" s="81"/>
      <c r="T19" s="80"/>
      <c r="U19" s="81"/>
      <c r="V19" s="80"/>
      <c r="W19" s="81"/>
      <c r="X19" s="80"/>
      <c r="Y19" s="81"/>
      <c r="Z19" s="80"/>
      <c r="AA19" s="81"/>
      <c r="AB19" s="80"/>
      <c r="AC19" s="81"/>
      <c r="AD19" s="80"/>
      <c r="AE19" s="81"/>
      <c r="AF19" s="80"/>
      <c r="AG19" s="81"/>
      <c r="AH19" s="80"/>
      <c r="AI19" s="81"/>
      <c r="AJ19" s="80"/>
      <c r="AK19" s="81"/>
      <c r="AL19" s="80"/>
      <c r="AM19" s="81"/>
      <c r="AN19" s="80"/>
      <c r="AO19" s="81"/>
      <c r="AP19" s="80"/>
      <c r="AQ19" s="81"/>
      <c r="AR19" s="80"/>
      <c r="AS19" s="81"/>
      <c r="AT19" s="80"/>
      <c r="AU19" s="81"/>
      <c r="AV19" s="80"/>
      <c r="AW19" s="81"/>
      <c r="AX19" s="80"/>
      <c r="AY19" s="81"/>
      <c r="AZ19" s="80"/>
      <c r="BA19" s="81"/>
      <c r="BB19" s="80"/>
      <c r="BC19" s="81"/>
      <c r="BD19" s="80"/>
      <c r="BE19" s="81"/>
      <c r="BF19" s="80"/>
      <c r="BG19" s="81"/>
      <c r="BH19" s="80"/>
      <c r="BI19" s="81"/>
      <c r="BJ19" s="82"/>
      <c r="BN19" s="50"/>
    </row>
    <row r="20" spans="1:66">
      <c r="A20" s="38" t="s">
        <v>72</v>
      </c>
      <c r="B20" s="38" t="s">
        <v>73</v>
      </c>
      <c r="C20" s="39">
        <v>9</v>
      </c>
      <c r="D20" s="98" t="s">
        <v>74</v>
      </c>
      <c r="E20" s="42">
        <v>2</v>
      </c>
      <c r="F20" s="42">
        <v>2</v>
      </c>
      <c r="G20" s="42">
        <v>2</v>
      </c>
      <c r="H20" s="42">
        <v>2</v>
      </c>
      <c r="I20" s="42">
        <v>2</v>
      </c>
      <c r="J20" s="42">
        <v>2</v>
      </c>
      <c r="K20" s="108">
        <v>2</v>
      </c>
      <c r="L20" s="109">
        <v>2</v>
      </c>
      <c r="M20" s="110">
        <v>2</v>
      </c>
      <c r="N20" s="110">
        <v>2</v>
      </c>
      <c r="O20" s="111">
        <v>2</v>
      </c>
      <c r="P20" s="111">
        <v>2</v>
      </c>
      <c r="Q20" s="111">
        <v>2</v>
      </c>
      <c r="R20" s="439"/>
      <c r="S20" s="440">
        <f t="shared" ref="S20:S30" si="23">R20/$Q20</f>
        <v>0</v>
      </c>
      <c r="T20" s="112">
        <v>1.587</v>
      </c>
      <c r="U20" s="113">
        <f t="shared" ref="U20:U30" si="24">T20/$Q20</f>
        <v>0.79349999999999998</v>
      </c>
      <c r="V20" s="112">
        <v>1.6259999999999999</v>
      </c>
      <c r="W20" s="113">
        <f t="shared" ref="W20:W30" si="25">V20/$Q20</f>
        <v>0.81299999999999994</v>
      </c>
      <c r="X20" s="112">
        <v>1.681</v>
      </c>
      <c r="Y20" s="113">
        <f t="shared" ref="Y20:Y30" si="26">X20/$Q20</f>
        <v>0.84050000000000002</v>
      </c>
      <c r="Z20" s="112">
        <v>1.6419999999999999</v>
      </c>
      <c r="AA20" s="113">
        <f t="shared" ref="AA20:AA30" si="27">Z20/$Q20</f>
        <v>0.82099999999999995</v>
      </c>
      <c r="AB20" s="112">
        <v>1.6259999999999999</v>
      </c>
      <c r="AC20" s="113">
        <f t="shared" ref="AC20:AC30" si="28">AB20/$Q20</f>
        <v>0.81299999999999994</v>
      </c>
      <c r="AD20" s="112">
        <v>1.6319999999999999</v>
      </c>
      <c r="AE20" s="113">
        <f t="shared" ref="AE20:AE30" si="29">AD20/$Q20</f>
        <v>0.81599999999999995</v>
      </c>
      <c r="AF20" s="112">
        <v>1.5609999999999999</v>
      </c>
      <c r="AG20" s="113">
        <f t="shared" ref="AG20:AG30" si="30">AF20/$Q20</f>
        <v>0.78049999999999997</v>
      </c>
      <c r="AH20" s="112">
        <v>1.5089999999999999</v>
      </c>
      <c r="AI20" s="113">
        <f t="shared" ref="AI20:AI30" si="31">AH20/$Q20</f>
        <v>0.75449999999999995</v>
      </c>
      <c r="AJ20" s="112">
        <v>1.4790000000000001</v>
      </c>
      <c r="AK20" s="113">
        <f t="shared" ref="AK20:AK30" si="32">AJ20/$Q20</f>
        <v>0.73950000000000005</v>
      </c>
      <c r="AL20" s="112">
        <v>1.383</v>
      </c>
      <c r="AM20" s="113">
        <f t="shared" ref="AM20:AM30" si="33">AL20/$Q20</f>
        <v>0.6915</v>
      </c>
      <c r="AN20" s="112">
        <v>1.256</v>
      </c>
      <c r="AO20" s="113">
        <f t="shared" ref="AO20:AO30" si="34">AN20/$Q20</f>
        <v>0.628</v>
      </c>
      <c r="AP20" s="112">
        <v>1.5549999999999999</v>
      </c>
      <c r="AQ20" s="113">
        <f t="shared" ref="AQ20:AQ30" si="35">AP20/$Q20</f>
        <v>0.77749999999999997</v>
      </c>
      <c r="AR20" s="112">
        <v>1.0640000000000001</v>
      </c>
      <c r="AS20" s="113">
        <f t="shared" ref="AS20:AS30" si="36">AR20/$Q20</f>
        <v>0.53200000000000003</v>
      </c>
      <c r="AT20" s="112">
        <v>0.97</v>
      </c>
      <c r="AU20" s="113">
        <f t="shared" ref="AU20:AU30" si="37">AT20/$Q20</f>
        <v>0.48499999999999999</v>
      </c>
      <c r="AV20" s="112">
        <v>0.88100000000000001</v>
      </c>
      <c r="AW20" s="113">
        <f t="shared" ref="AW20:AW30" si="38">AV20/$Q20</f>
        <v>0.4405</v>
      </c>
      <c r="AX20" s="112">
        <v>0.86199999999999999</v>
      </c>
      <c r="AY20" s="113">
        <f t="shared" ref="AY20:AY30" si="39">AX20/$Q20</f>
        <v>0.43099999999999999</v>
      </c>
      <c r="AZ20" s="112">
        <v>0.84</v>
      </c>
      <c r="BA20" s="113">
        <f t="shared" ref="BA20:BA30" si="40">AZ20/$Q20</f>
        <v>0.42</v>
      </c>
      <c r="BB20" s="112">
        <v>0.77600000000000002</v>
      </c>
      <c r="BC20" s="113">
        <f t="shared" ref="BC20:BC30" si="41">BB20/$Q20</f>
        <v>0.38800000000000001</v>
      </c>
      <c r="BD20" s="112">
        <v>0.77</v>
      </c>
      <c r="BE20" s="113">
        <f t="shared" ref="BE20:BE30" si="42">BD20/$Q20</f>
        <v>0.38500000000000001</v>
      </c>
      <c r="BF20" s="112">
        <v>0.74</v>
      </c>
      <c r="BG20" s="113">
        <f t="shared" ref="BG20:BG30" si="43">BF20/$Q20</f>
        <v>0.37</v>
      </c>
      <c r="BH20" s="112">
        <v>0.72</v>
      </c>
      <c r="BI20" s="113">
        <f t="shared" ref="BI20:BI30" si="44">BH20/$Q20</f>
        <v>0.36</v>
      </c>
      <c r="BJ20" s="36" t="s">
        <v>75</v>
      </c>
      <c r="BN20" s="50"/>
    </row>
    <row r="21" spans="1:66">
      <c r="A21" s="38" t="s">
        <v>72</v>
      </c>
      <c r="B21" s="38" t="s">
        <v>76</v>
      </c>
      <c r="C21" s="39">
        <v>23</v>
      </c>
      <c r="D21" s="98" t="s">
        <v>77</v>
      </c>
      <c r="E21" s="42">
        <v>3</v>
      </c>
      <c r="F21" s="42">
        <v>3</v>
      </c>
      <c r="G21" s="42">
        <v>3</v>
      </c>
      <c r="H21" s="42">
        <v>3</v>
      </c>
      <c r="I21" s="42">
        <v>3</v>
      </c>
      <c r="J21" s="42">
        <v>3</v>
      </c>
      <c r="K21" s="108">
        <v>3</v>
      </c>
      <c r="L21" s="109">
        <v>3</v>
      </c>
      <c r="M21" s="115">
        <v>3.45</v>
      </c>
      <c r="N21" s="115">
        <v>3.41</v>
      </c>
      <c r="O21" s="116">
        <v>3.41</v>
      </c>
      <c r="P21" s="116">
        <v>3.41</v>
      </c>
      <c r="Q21" s="116">
        <v>3.41</v>
      </c>
      <c r="R21" s="46">
        <v>3.41</v>
      </c>
      <c r="S21" s="47">
        <f t="shared" si="23"/>
        <v>1</v>
      </c>
      <c r="T21" s="46">
        <v>3.41</v>
      </c>
      <c r="U21" s="47">
        <f t="shared" si="24"/>
        <v>1</v>
      </c>
      <c r="V21" s="46">
        <v>3.41</v>
      </c>
      <c r="W21" s="47">
        <f t="shared" si="25"/>
        <v>1</v>
      </c>
      <c r="X21" s="46">
        <v>3.41</v>
      </c>
      <c r="Y21" s="47">
        <f t="shared" si="26"/>
        <v>1</v>
      </c>
      <c r="Z21" s="46">
        <v>3.41</v>
      </c>
      <c r="AA21" s="47">
        <f t="shared" si="27"/>
        <v>1</v>
      </c>
      <c r="AB21" s="46">
        <v>3.3919999999999999</v>
      </c>
      <c r="AC21" s="47">
        <f t="shared" si="28"/>
        <v>0.99472140762463335</v>
      </c>
      <c r="AD21" s="46">
        <v>3.383</v>
      </c>
      <c r="AE21" s="47">
        <f t="shared" si="29"/>
        <v>0.99208211143695013</v>
      </c>
      <c r="AF21" s="46">
        <v>3.3679999999999999</v>
      </c>
      <c r="AG21" s="47">
        <f t="shared" si="30"/>
        <v>0.98768328445747788</v>
      </c>
      <c r="AH21" s="46">
        <v>3.1859999999999999</v>
      </c>
      <c r="AI21" s="47">
        <f t="shared" si="31"/>
        <v>0.9343108504398826</v>
      </c>
      <c r="AJ21" s="46">
        <v>2.968</v>
      </c>
      <c r="AK21" s="47">
        <f t="shared" si="32"/>
        <v>0.87038123167155423</v>
      </c>
      <c r="AL21" s="46">
        <v>2.7010000000000001</v>
      </c>
      <c r="AM21" s="47">
        <f t="shared" si="33"/>
        <v>0.79208211143695018</v>
      </c>
      <c r="AN21" s="46">
        <v>2.0790000000000002</v>
      </c>
      <c r="AO21" s="47">
        <f t="shared" si="34"/>
        <v>0.60967741935483877</v>
      </c>
      <c r="AP21" s="46">
        <v>1.7849999999999999</v>
      </c>
      <c r="AQ21" s="47">
        <f t="shared" si="35"/>
        <v>0.52346041055718473</v>
      </c>
      <c r="AR21" s="46">
        <v>1.494</v>
      </c>
      <c r="AS21" s="47">
        <f t="shared" si="36"/>
        <v>0.43812316715542521</v>
      </c>
      <c r="AT21" s="46">
        <v>1.47</v>
      </c>
      <c r="AU21" s="47">
        <f t="shared" si="37"/>
        <v>0.43108504398826974</v>
      </c>
      <c r="AV21" s="46">
        <v>1.45</v>
      </c>
      <c r="AW21" s="47">
        <f t="shared" si="38"/>
        <v>0.42521994134897356</v>
      </c>
      <c r="AX21" s="46">
        <v>1.3440000000000001</v>
      </c>
      <c r="AY21" s="47">
        <f t="shared" si="39"/>
        <v>0.39413489736070384</v>
      </c>
      <c r="AZ21" s="46">
        <v>1.3109999999999999</v>
      </c>
      <c r="BA21" s="47">
        <f t="shared" si="40"/>
        <v>0.38445747800586505</v>
      </c>
      <c r="BB21" s="46">
        <v>1.2909999999999999</v>
      </c>
      <c r="BC21" s="47">
        <f t="shared" si="41"/>
        <v>0.37859237536656887</v>
      </c>
      <c r="BD21" s="46">
        <v>1.2789999999999999</v>
      </c>
      <c r="BE21" s="47">
        <f t="shared" si="42"/>
        <v>0.37507331378299114</v>
      </c>
      <c r="BF21" s="46">
        <v>1.24</v>
      </c>
      <c r="BG21" s="47">
        <f t="shared" si="43"/>
        <v>0.36363636363636359</v>
      </c>
      <c r="BH21" s="46">
        <v>1.256</v>
      </c>
      <c r="BI21" s="47">
        <f t="shared" si="44"/>
        <v>0.36832844574780055</v>
      </c>
      <c r="BJ21" s="36" t="s">
        <v>42</v>
      </c>
      <c r="BN21" s="50"/>
    </row>
    <row r="22" spans="1:66">
      <c r="A22" s="38" t="s">
        <v>72</v>
      </c>
      <c r="B22" s="38" t="s">
        <v>78</v>
      </c>
      <c r="C22" s="39">
        <v>13</v>
      </c>
      <c r="D22" s="98" t="s">
        <v>79</v>
      </c>
      <c r="E22" s="42">
        <v>2.1</v>
      </c>
      <c r="F22" s="42">
        <v>2.1</v>
      </c>
      <c r="G22" s="42">
        <v>2.1</v>
      </c>
      <c r="H22" s="42">
        <v>2.1</v>
      </c>
      <c r="I22" s="42">
        <v>2.1</v>
      </c>
      <c r="J22" s="42">
        <v>2.1</v>
      </c>
      <c r="K22" s="108">
        <v>2.1</v>
      </c>
      <c r="L22" s="109">
        <v>2.1</v>
      </c>
      <c r="M22" s="115">
        <v>2.1</v>
      </c>
      <c r="N22" s="115">
        <v>2.1</v>
      </c>
      <c r="O22" s="116">
        <v>2.1</v>
      </c>
      <c r="P22" s="116">
        <v>2.1</v>
      </c>
      <c r="Q22" s="116">
        <v>2.1</v>
      </c>
      <c r="R22" s="46">
        <v>1.236</v>
      </c>
      <c r="S22" s="47">
        <f t="shared" si="23"/>
        <v>0.58857142857142852</v>
      </c>
      <c r="T22" s="46">
        <v>1.218</v>
      </c>
      <c r="U22" s="47">
        <f t="shared" si="24"/>
        <v>0.57999999999999996</v>
      </c>
      <c r="V22" s="46">
        <v>1.228</v>
      </c>
      <c r="W22" s="47">
        <f t="shared" si="25"/>
        <v>0.58476190476190471</v>
      </c>
      <c r="X22" s="46">
        <v>1.2789999999999999</v>
      </c>
      <c r="Y22" s="47">
        <f t="shared" si="26"/>
        <v>0.60904761904761895</v>
      </c>
      <c r="Z22" s="46">
        <v>1.288</v>
      </c>
      <c r="AA22" s="47">
        <f t="shared" si="27"/>
        <v>0.61333333333333329</v>
      </c>
      <c r="AB22" s="46">
        <v>1.246</v>
      </c>
      <c r="AC22" s="47">
        <f t="shared" si="28"/>
        <v>0.59333333333333327</v>
      </c>
      <c r="AD22" s="46">
        <v>1.228</v>
      </c>
      <c r="AE22" s="47">
        <f t="shared" si="29"/>
        <v>0.58476190476190471</v>
      </c>
      <c r="AF22" s="46">
        <v>1.2070000000000001</v>
      </c>
      <c r="AG22" s="47">
        <f t="shared" si="30"/>
        <v>0.57476190476190481</v>
      </c>
      <c r="AH22" s="46">
        <v>1.1830000000000001</v>
      </c>
      <c r="AI22" s="47">
        <f t="shared" si="31"/>
        <v>0.56333333333333335</v>
      </c>
      <c r="AJ22" s="46">
        <v>1.143</v>
      </c>
      <c r="AK22" s="47">
        <f t="shared" si="32"/>
        <v>0.54428571428571426</v>
      </c>
      <c r="AL22" s="46">
        <v>1.0860000000000001</v>
      </c>
      <c r="AM22" s="47">
        <f t="shared" si="33"/>
        <v>0.51714285714285713</v>
      </c>
      <c r="AN22" s="46">
        <v>1.02</v>
      </c>
      <c r="AO22" s="47">
        <f t="shared" si="34"/>
        <v>0.48571428571428571</v>
      </c>
      <c r="AP22" s="46">
        <v>0.95</v>
      </c>
      <c r="AQ22" s="47">
        <f t="shared" si="35"/>
        <v>0.45238095238095233</v>
      </c>
      <c r="AR22" s="46">
        <v>0.85</v>
      </c>
      <c r="AS22" s="47">
        <f t="shared" si="36"/>
        <v>0.40476190476190471</v>
      </c>
      <c r="AT22" s="46">
        <v>0.78</v>
      </c>
      <c r="AU22" s="47">
        <f t="shared" si="37"/>
        <v>0.37142857142857144</v>
      </c>
      <c r="AV22" s="46">
        <v>0.75</v>
      </c>
      <c r="AW22" s="47">
        <f t="shared" si="38"/>
        <v>0.35714285714285715</v>
      </c>
      <c r="AX22" s="46">
        <v>0.74099999999999999</v>
      </c>
      <c r="AY22" s="47">
        <f t="shared" si="39"/>
        <v>0.35285714285714281</v>
      </c>
      <c r="AZ22" s="46">
        <v>0.73099999999999998</v>
      </c>
      <c r="BA22" s="47">
        <f t="shared" si="40"/>
        <v>0.34809523809523807</v>
      </c>
      <c r="BB22" s="46">
        <v>0.71199999999999997</v>
      </c>
      <c r="BC22" s="47">
        <f t="shared" si="41"/>
        <v>0.33904761904761904</v>
      </c>
      <c r="BD22" s="46">
        <v>0.60699999999999998</v>
      </c>
      <c r="BE22" s="47">
        <f t="shared" si="42"/>
        <v>0.28904761904761905</v>
      </c>
      <c r="BF22" s="46">
        <v>0.59</v>
      </c>
      <c r="BG22" s="47">
        <f t="shared" si="43"/>
        <v>0.28095238095238095</v>
      </c>
      <c r="BH22" s="46">
        <v>0.58699999999999997</v>
      </c>
      <c r="BI22" s="47">
        <f t="shared" si="44"/>
        <v>0.27952380952380951</v>
      </c>
      <c r="BJ22" s="117" t="s">
        <v>80</v>
      </c>
    </row>
    <row r="23" spans="1:66">
      <c r="A23" s="38" t="s">
        <v>72</v>
      </c>
      <c r="B23" s="38" t="s">
        <v>81</v>
      </c>
      <c r="C23" s="39">
        <v>14</v>
      </c>
      <c r="D23" s="98" t="s">
        <v>82</v>
      </c>
      <c r="E23" s="42">
        <v>4.93</v>
      </c>
      <c r="F23" s="42">
        <v>4.93</v>
      </c>
      <c r="G23" s="42">
        <v>4.93</v>
      </c>
      <c r="H23" s="42">
        <v>4.93</v>
      </c>
      <c r="I23" s="42">
        <v>4.93</v>
      </c>
      <c r="J23" s="42">
        <v>4.93</v>
      </c>
      <c r="K23" s="108">
        <v>4.93</v>
      </c>
      <c r="L23" s="109">
        <v>4.93</v>
      </c>
      <c r="M23" s="115">
        <v>4.93</v>
      </c>
      <c r="N23" s="115">
        <v>4.93</v>
      </c>
      <c r="O23" s="116">
        <v>4.93</v>
      </c>
      <c r="P23" s="116">
        <v>4.93</v>
      </c>
      <c r="Q23" s="116">
        <v>4.93</v>
      </c>
      <c r="R23" s="46">
        <v>3.05</v>
      </c>
      <c r="S23" s="47">
        <f t="shared" si="23"/>
        <v>0.61866125760649082</v>
      </c>
      <c r="T23" s="46">
        <v>3.69</v>
      </c>
      <c r="U23" s="47">
        <f t="shared" si="24"/>
        <v>0.74847870182555787</v>
      </c>
      <c r="V23" s="46">
        <v>3.77</v>
      </c>
      <c r="W23" s="47">
        <f t="shared" si="25"/>
        <v>0.76470588235294124</v>
      </c>
      <c r="X23" s="46">
        <v>3.96</v>
      </c>
      <c r="Y23" s="47">
        <f t="shared" si="26"/>
        <v>0.80324543610547672</v>
      </c>
      <c r="Z23" s="46">
        <v>4.13</v>
      </c>
      <c r="AA23" s="47">
        <f t="shared" si="27"/>
        <v>0.83772819472616633</v>
      </c>
      <c r="AB23" s="46">
        <v>4.17</v>
      </c>
      <c r="AC23" s="47">
        <f t="shared" si="28"/>
        <v>0.84584178498985807</v>
      </c>
      <c r="AD23" s="46">
        <v>4.16</v>
      </c>
      <c r="AE23" s="47">
        <f t="shared" si="29"/>
        <v>0.84381338742393519</v>
      </c>
      <c r="AF23" s="46">
        <v>4.12</v>
      </c>
      <c r="AG23" s="47">
        <f t="shared" si="30"/>
        <v>0.83569979716024345</v>
      </c>
      <c r="AH23" s="46">
        <v>4.1399999999999997</v>
      </c>
      <c r="AI23" s="47">
        <f t="shared" si="31"/>
        <v>0.83975659229208921</v>
      </c>
      <c r="AJ23" s="46">
        <v>4.1100000000000003</v>
      </c>
      <c r="AK23" s="47">
        <f t="shared" si="32"/>
        <v>0.83367139959432057</v>
      </c>
      <c r="AL23" s="46">
        <v>3.71</v>
      </c>
      <c r="AM23" s="47">
        <f t="shared" si="33"/>
        <v>0.75253549695740374</v>
      </c>
      <c r="AN23" s="46">
        <v>3.3</v>
      </c>
      <c r="AO23" s="47">
        <f t="shared" si="34"/>
        <v>0.66937119675456391</v>
      </c>
      <c r="AP23" s="46">
        <v>2.86</v>
      </c>
      <c r="AQ23" s="47">
        <f t="shared" si="35"/>
        <v>0.58012170385395534</v>
      </c>
      <c r="AR23" s="46">
        <v>2.46</v>
      </c>
      <c r="AS23" s="47">
        <f t="shared" si="36"/>
        <v>0.49898580121703856</v>
      </c>
      <c r="AT23" s="46">
        <v>2.2599999999999998</v>
      </c>
      <c r="AU23" s="47">
        <f t="shared" si="37"/>
        <v>0.45841784989858009</v>
      </c>
      <c r="AV23" s="46">
        <v>2.0299999999999998</v>
      </c>
      <c r="AW23" s="47">
        <f t="shared" si="38"/>
        <v>0.41176470588235292</v>
      </c>
      <c r="AX23" s="46">
        <v>1.69</v>
      </c>
      <c r="AY23" s="47">
        <f t="shared" si="39"/>
        <v>0.34279918864097364</v>
      </c>
      <c r="AZ23" s="46">
        <v>1.39</v>
      </c>
      <c r="BA23" s="47">
        <f t="shared" si="40"/>
        <v>0.28194726166328599</v>
      </c>
      <c r="BB23" s="46">
        <v>1.26</v>
      </c>
      <c r="BC23" s="47">
        <f t="shared" si="41"/>
        <v>0.25557809330628806</v>
      </c>
      <c r="BD23" s="46">
        <v>1</v>
      </c>
      <c r="BE23" s="47">
        <f t="shared" si="42"/>
        <v>0.20283975659229211</v>
      </c>
      <c r="BF23" s="46">
        <v>0.64</v>
      </c>
      <c r="BG23" s="47">
        <f t="shared" si="43"/>
        <v>0.12981744421906694</v>
      </c>
      <c r="BH23" s="46">
        <v>0.66</v>
      </c>
      <c r="BI23" s="47">
        <f t="shared" si="44"/>
        <v>0.1338742393509128</v>
      </c>
      <c r="BJ23" s="36" t="s">
        <v>83</v>
      </c>
    </row>
    <row r="24" spans="1:66">
      <c r="A24" s="38" t="s">
        <v>72</v>
      </c>
      <c r="B24" s="38" t="s">
        <v>84</v>
      </c>
      <c r="C24" s="39">
        <v>42</v>
      </c>
      <c r="D24" s="98" t="s">
        <v>85</v>
      </c>
      <c r="E24" s="42">
        <v>33.76</v>
      </c>
      <c r="F24" s="42">
        <v>47.3</v>
      </c>
      <c r="G24" s="42">
        <v>44.6</v>
      </c>
      <c r="H24" s="42">
        <v>44.6</v>
      </c>
      <c r="I24" s="42">
        <v>44.6</v>
      </c>
      <c r="J24" s="42">
        <v>44.6</v>
      </c>
      <c r="K24" s="108">
        <v>44.6</v>
      </c>
      <c r="L24" s="109">
        <v>44.6</v>
      </c>
      <c r="M24" s="115">
        <v>44.6</v>
      </c>
      <c r="N24" s="115">
        <v>44.6</v>
      </c>
      <c r="O24" s="116">
        <v>44.6</v>
      </c>
      <c r="P24" s="116">
        <v>44.6</v>
      </c>
      <c r="Q24" s="116">
        <v>44.6</v>
      </c>
      <c r="R24" s="46">
        <v>30.126000000000001</v>
      </c>
      <c r="S24" s="47">
        <f t="shared" si="23"/>
        <v>0.67547085201793722</v>
      </c>
      <c r="T24" s="46">
        <v>34.042000000000002</v>
      </c>
      <c r="U24" s="47">
        <f t="shared" si="24"/>
        <v>0.76327354260089686</v>
      </c>
      <c r="V24" s="46">
        <v>37.747999999999998</v>
      </c>
      <c r="W24" s="47">
        <f t="shared" si="25"/>
        <v>0.84636771300448421</v>
      </c>
      <c r="X24" s="46">
        <v>40.055999999999997</v>
      </c>
      <c r="Y24" s="47">
        <f t="shared" si="26"/>
        <v>0.898116591928251</v>
      </c>
      <c r="Z24" s="46">
        <v>43.4</v>
      </c>
      <c r="AA24" s="47">
        <f t="shared" si="27"/>
        <v>0.97309417040358737</v>
      </c>
      <c r="AB24" s="46">
        <v>43.57</v>
      </c>
      <c r="AC24" s="47">
        <f t="shared" si="28"/>
        <v>0.97690582959641248</v>
      </c>
      <c r="AD24" s="46">
        <v>42.399000000000001</v>
      </c>
      <c r="AE24" s="47">
        <f t="shared" si="29"/>
        <v>0.95065022421524659</v>
      </c>
      <c r="AF24" s="46">
        <v>41.298000000000002</v>
      </c>
      <c r="AG24" s="47">
        <f t="shared" si="30"/>
        <v>0.92596412556053809</v>
      </c>
      <c r="AH24" s="46">
        <v>40.588000000000001</v>
      </c>
      <c r="AI24" s="47">
        <f t="shared" si="31"/>
        <v>0.91004484304932731</v>
      </c>
      <c r="AJ24" s="46">
        <v>38.21</v>
      </c>
      <c r="AK24" s="47">
        <f t="shared" si="32"/>
        <v>0.85672645739910314</v>
      </c>
      <c r="AL24" s="46">
        <v>35.981999999999999</v>
      </c>
      <c r="AM24" s="47">
        <f t="shared" si="33"/>
        <v>0.80677130044843048</v>
      </c>
      <c r="AN24" s="46">
        <v>32.101999999999997</v>
      </c>
      <c r="AO24" s="47">
        <f t="shared" si="34"/>
        <v>0.71977578475336312</v>
      </c>
      <c r="AP24" s="46">
        <v>30.068000000000001</v>
      </c>
      <c r="AQ24" s="47">
        <f t="shared" si="35"/>
        <v>0.67417040358744396</v>
      </c>
      <c r="AR24" s="46">
        <v>26.684000000000001</v>
      </c>
      <c r="AS24" s="47">
        <f t="shared" si="36"/>
        <v>0.59829596412556052</v>
      </c>
      <c r="AT24" s="46">
        <v>24.92</v>
      </c>
      <c r="AU24" s="47">
        <f t="shared" si="37"/>
        <v>0.55874439461883407</v>
      </c>
      <c r="AV24" s="46">
        <v>22.702000000000002</v>
      </c>
      <c r="AW24" s="47">
        <f t="shared" si="38"/>
        <v>0.50901345291479827</v>
      </c>
      <c r="AX24" s="46">
        <v>21.637</v>
      </c>
      <c r="AY24" s="47">
        <f t="shared" si="39"/>
        <v>0.48513452914798205</v>
      </c>
      <c r="AZ24" s="46">
        <v>20.149999999999999</v>
      </c>
      <c r="BA24" s="47">
        <f t="shared" si="40"/>
        <v>0.45179372197309414</v>
      </c>
      <c r="BB24" s="46">
        <v>19.440000000000001</v>
      </c>
      <c r="BC24" s="47">
        <f t="shared" si="41"/>
        <v>0.43587443946188342</v>
      </c>
      <c r="BD24" s="46">
        <v>18.315000000000001</v>
      </c>
      <c r="BE24" s="47">
        <f t="shared" si="42"/>
        <v>0.41065022421524666</v>
      </c>
      <c r="BF24" s="46">
        <v>17.78</v>
      </c>
      <c r="BG24" s="47">
        <f t="shared" si="43"/>
        <v>0.39865470852017937</v>
      </c>
      <c r="BH24" s="46">
        <v>17.276</v>
      </c>
      <c r="BI24" s="47">
        <f t="shared" si="44"/>
        <v>0.3873542600896861</v>
      </c>
      <c r="BJ24" s="101" t="s">
        <v>86</v>
      </c>
      <c r="BK24" s="118"/>
    </row>
    <row r="25" spans="1:66">
      <c r="A25" s="38" t="s">
        <v>72</v>
      </c>
      <c r="B25" s="38" t="s">
        <v>87</v>
      </c>
      <c r="C25" s="39">
        <v>30</v>
      </c>
      <c r="D25" s="98" t="s">
        <v>79</v>
      </c>
      <c r="E25" s="42">
        <v>4</v>
      </c>
      <c r="F25" s="42">
        <v>4</v>
      </c>
      <c r="G25" s="42">
        <v>4</v>
      </c>
      <c r="H25" s="42">
        <v>4</v>
      </c>
      <c r="I25" s="42">
        <v>4</v>
      </c>
      <c r="J25" s="42">
        <v>4</v>
      </c>
      <c r="K25" s="108">
        <v>4</v>
      </c>
      <c r="L25" s="109">
        <v>4</v>
      </c>
      <c r="M25" s="115">
        <v>4.0999999999999996</v>
      </c>
      <c r="N25" s="115">
        <v>4.0999999999999996</v>
      </c>
      <c r="O25" s="116">
        <v>4.0999999999999996</v>
      </c>
      <c r="P25" s="116">
        <v>4.0999999999999996</v>
      </c>
      <c r="Q25" s="116">
        <v>4.0999999999999996</v>
      </c>
      <c r="R25" s="46">
        <v>3.4279999999999999</v>
      </c>
      <c r="S25" s="47">
        <f t="shared" si="23"/>
        <v>0.83609756097560983</v>
      </c>
      <c r="T25" s="46">
        <v>3.4009999999999998</v>
      </c>
      <c r="U25" s="47">
        <f t="shared" si="24"/>
        <v>0.82951219512195129</v>
      </c>
      <c r="V25" s="46">
        <v>3.1960000000000002</v>
      </c>
      <c r="W25" s="47">
        <f t="shared" si="25"/>
        <v>0.77951219512195136</v>
      </c>
      <c r="X25" s="46">
        <v>3.262</v>
      </c>
      <c r="Y25" s="47">
        <f t="shared" si="26"/>
        <v>0.79560975609756102</v>
      </c>
      <c r="Z25" s="46">
        <v>3.2730000000000001</v>
      </c>
      <c r="AA25" s="47">
        <f t="shared" si="27"/>
        <v>0.79829268292682942</v>
      </c>
      <c r="AB25" s="46">
        <v>3.073</v>
      </c>
      <c r="AC25" s="47">
        <f t="shared" si="28"/>
        <v>0.74951219512195122</v>
      </c>
      <c r="AD25" s="46">
        <v>2.9529999999999998</v>
      </c>
      <c r="AE25" s="47">
        <f t="shared" si="29"/>
        <v>0.72024390243902436</v>
      </c>
      <c r="AF25" s="46">
        <v>2.7679999999999998</v>
      </c>
      <c r="AG25" s="47">
        <f t="shared" si="30"/>
        <v>0.67512195121951224</v>
      </c>
      <c r="AH25" s="46">
        <v>2.7530000000000001</v>
      </c>
      <c r="AI25" s="47">
        <f t="shared" si="31"/>
        <v>0.67146341463414638</v>
      </c>
      <c r="AJ25" s="46">
        <v>2.5569999999999999</v>
      </c>
      <c r="AK25" s="47">
        <f t="shared" si="32"/>
        <v>0.62365853658536585</v>
      </c>
      <c r="AL25" s="46">
        <v>2.286</v>
      </c>
      <c r="AM25" s="47">
        <f t="shared" si="33"/>
        <v>0.55756097560975615</v>
      </c>
      <c r="AN25" s="46">
        <v>1.9770000000000001</v>
      </c>
      <c r="AO25" s="47">
        <f t="shared" si="34"/>
        <v>0.48219512195121955</v>
      </c>
      <c r="AP25" s="46">
        <v>1.623</v>
      </c>
      <c r="AQ25" s="47">
        <f t="shared" si="35"/>
        <v>0.39585365853658538</v>
      </c>
      <c r="AR25" s="46">
        <v>1.417</v>
      </c>
      <c r="AS25" s="47">
        <f t="shared" si="36"/>
        <v>0.34560975609756101</v>
      </c>
      <c r="AT25" s="46">
        <v>1.25</v>
      </c>
      <c r="AU25" s="47">
        <f t="shared" si="37"/>
        <v>0.30487804878048785</v>
      </c>
      <c r="AV25" s="46">
        <v>1.2549999999999999</v>
      </c>
      <c r="AW25" s="47">
        <f t="shared" si="38"/>
        <v>0.30609756097560975</v>
      </c>
      <c r="AX25" s="46">
        <v>1.224</v>
      </c>
      <c r="AY25" s="47">
        <f t="shared" si="39"/>
        <v>0.2985365853658537</v>
      </c>
      <c r="AZ25" s="46">
        <v>1.234</v>
      </c>
      <c r="BA25" s="47">
        <f t="shared" si="40"/>
        <v>0.30097560975609761</v>
      </c>
      <c r="BB25" s="46">
        <v>1.232</v>
      </c>
      <c r="BC25" s="47">
        <f t="shared" si="41"/>
        <v>0.30048780487804883</v>
      </c>
      <c r="BD25" s="46">
        <v>1.0229999999999999</v>
      </c>
      <c r="BE25" s="47">
        <f t="shared" si="42"/>
        <v>0.24951219512195122</v>
      </c>
      <c r="BF25" s="46">
        <v>1.01</v>
      </c>
      <c r="BG25" s="47">
        <f t="shared" si="43"/>
        <v>0.24634146341463417</v>
      </c>
      <c r="BH25" s="46">
        <v>1.081</v>
      </c>
      <c r="BI25" s="47">
        <f t="shared" si="44"/>
        <v>0.26365853658536587</v>
      </c>
      <c r="BJ25" s="117" t="s">
        <v>80</v>
      </c>
    </row>
    <row r="26" spans="1:66">
      <c r="A26" s="38" t="s">
        <v>72</v>
      </c>
      <c r="B26" s="38" t="s">
        <v>88</v>
      </c>
      <c r="C26" s="39">
        <v>11</v>
      </c>
      <c r="D26" s="98" t="s">
        <v>74</v>
      </c>
      <c r="E26" s="42">
        <v>1.87</v>
      </c>
      <c r="F26" s="42">
        <v>1.87</v>
      </c>
      <c r="G26" s="42">
        <v>1.87</v>
      </c>
      <c r="H26" s="42">
        <v>1.87</v>
      </c>
      <c r="I26" s="42">
        <v>1.87</v>
      </c>
      <c r="J26" s="42">
        <v>1.87</v>
      </c>
      <c r="K26" s="108">
        <v>1.87</v>
      </c>
      <c r="L26" s="109">
        <v>1.87</v>
      </c>
      <c r="M26" s="115">
        <v>1.87</v>
      </c>
      <c r="N26" s="115">
        <v>1.87</v>
      </c>
      <c r="O26" s="116">
        <v>1.87</v>
      </c>
      <c r="P26" s="116">
        <v>1.87</v>
      </c>
      <c r="Q26" s="116">
        <v>1.87</v>
      </c>
      <c r="R26" s="441"/>
      <c r="S26" s="442">
        <f t="shared" si="23"/>
        <v>0</v>
      </c>
      <c r="T26" s="46">
        <v>1.87</v>
      </c>
      <c r="U26" s="47">
        <f t="shared" si="24"/>
        <v>1</v>
      </c>
      <c r="V26" s="46">
        <v>1.87</v>
      </c>
      <c r="W26" s="47">
        <f t="shared" si="25"/>
        <v>1</v>
      </c>
      <c r="X26" s="46">
        <v>1.87</v>
      </c>
      <c r="Y26" s="47">
        <f t="shared" si="26"/>
        <v>1</v>
      </c>
      <c r="Z26" s="46">
        <v>1.87</v>
      </c>
      <c r="AA26" s="47">
        <f t="shared" si="27"/>
        <v>1</v>
      </c>
      <c r="AB26" s="46">
        <v>1.85</v>
      </c>
      <c r="AC26" s="47">
        <f t="shared" si="28"/>
        <v>0.98930481283422456</v>
      </c>
      <c r="AD26" s="46">
        <v>1.85</v>
      </c>
      <c r="AE26" s="47">
        <f t="shared" si="29"/>
        <v>0.98930481283422456</v>
      </c>
      <c r="AF26" s="46">
        <v>1.8460000000000001</v>
      </c>
      <c r="AG26" s="47">
        <f t="shared" si="30"/>
        <v>0.98716577540106953</v>
      </c>
      <c r="AH26" s="46">
        <v>1.766</v>
      </c>
      <c r="AI26" s="47">
        <f t="shared" si="31"/>
        <v>0.94438502673796787</v>
      </c>
      <c r="AJ26" s="46">
        <v>1.762</v>
      </c>
      <c r="AK26" s="47">
        <f t="shared" si="32"/>
        <v>0.94224598930481274</v>
      </c>
      <c r="AL26" s="46">
        <v>1.6379999999999999</v>
      </c>
      <c r="AM26" s="47">
        <f t="shared" si="33"/>
        <v>0.87593582887700527</v>
      </c>
      <c r="AN26" s="46">
        <v>1.526</v>
      </c>
      <c r="AO26" s="47">
        <f t="shared" si="34"/>
        <v>0.8160427807486631</v>
      </c>
      <c r="AP26" s="46">
        <v>1.468</v>
      </c>
      <c r="AQ26" s="47">
        <f t="shared" si="35"/>
        <v>0.78502673796791433</v>
      </c>
      <c r="AR26" s="46">
        <v>1.2769999999999999</v>
      </c>
      <c r="AS26" s="47">
        <f t="shared" si="36"/>
        <v>0.68288770053475922</v>
      </c>
      <c r="AT26" s="46">
        <v>1.27</v>
      </c>
      <c r="AU26" s="47">
        <f t="shared" si="37"/>
        <v>0.67914438502673791</v>
      </c>
      <c r="AV26" s="46">
        <v>1.0549999999999999</v>
      </c>
      <c r="AW26" s="47">
        <f t="shared" si="38"/>
        <v>0.56417112299465233</v>
      </c>
      <c r="AX26" s="46">
        <v>1.0229999999999999</v>
      </c>
      <c r="AY26" s="47">
        <f t="shared" si="39"/>
        <v>0.54705882352941171</v>
      </c>
      <c r="AZ26" s="46">
        <v>0.85899999999999999</v>
      </c>
      <c r="BA26" s="47">
        <f t="shared" si="40"/>
        <v>0.45935828877005347</v>
      </c>
      <c r="BB26" s="46">
        <v>0.82</v>
      </c>
      <c r="BC26" s="47">
        <f t="shared" si="41"/>
        <v>0.43850267379679142</v>
      </c>
      <c r="BD26" s="46">
        <v>0.77900000000000003</v>
      </c>
      <c r="BE26" s="47">
        <f t="shared" si="42"/>
        <v>0.41657754010695186</v>
      </c>
      <c r="BF26" s="46">
        <v>0.69699999999999995</v>
      </c>
      <c r="BG26" s="47">
        <f t="shared" si="43"/>
        <v>0.37272727272727268</v>
      </c>
      <c r="BH26" s="46">
        <v>0.71</v>
      </c>
      <c r="BI26" s="47">
        <f t="shared" si="44"/>
        <v>0.3796791443850267</v>
      </c>
      <c r="BJ26" s="36" t="s">
        <v>75</v>
      </c>
    </row>
    <row r="27" spans="1:66">
      <c r="A27" s="38" t="s">
        <v>72</v>
      </c>
      <c r="B27" s="38" t="s">
        <v>89</v>
      </c>
      <c r="C27" s="39">
        <v>24</v>
      </c>
      <c r="D27" s="98" t="s">
        <v>77</v>
      </c>
      <c r="E27" s="42">
        <v>8</v>
      </c>
      <c r="F27" s="42">
        <v>8</v>
      </c>
      <c r="G27" s="42">
        <v>8</v>
      </c>
      <c r="H27" s="42">
        <v>8</v>
      </c>
      <c r="I27" s="42">
        <v>8</v>
      </c>
      <c r="J27" s="42">
        <v>8</v>
      </c>
      <c r="K27" s="108">
        <v>8</v>
      </c>
      <c r="L27" s="109">
        <v>8</v>
      </c>
      <c r="M27" s="115">
        <v>8</v>
      </c>
      <c r="N27" s="115">
        <v>8</v>
      </c>
      <c r="O27" s="116">
        <v>8</v>
      </c>
      <c r="P27" s="116">
        <v>8</v>
      </c>
      <c r="Q27" s="116">
        <v>8</v>
      </c>
      <c r="R27" s="46">
        <v>6.81</v>
      </c>
      <c r="S27" s="47">
        <f t="shared" si="23"/>
        <v>0.85124999999999995</v>
      </c>
      <c r="T27" s="46">
        <v>7.9619999999999997</v>
      </c>
      <c r="U27" s="47">
        <f t="shared" si="24"/>
        <v>0.99524999999999997</v>
      </c>
      <c r="V27" s="46">
        <v>8</v>
      </c>
      <c r="W27" s="47">
        <f t="shared" si="25"/>
        <v>1</v>
      </c>
      <c r="X27" s="46">
        <v>8</v>
      </c>
      <c r="Y27" s="47">
        <f t="shared" si="26"/>
        <v>1</v>
      </c>
      <c r="Z27" s="46">
        <v>8</v>
      </c>
      <c r="AA27" s="47">
        <f t="shared" si="27"/>
        <v>1</v>
      </c>
      <c r="AB27" s="46">
        <v>7.7119999999999997</v>
      </c>
      <c r="AC27" s="47">
        <f t="shared" si="28"/>
        <v>0.96399999999999997</v>
      </c>
      <c r="AD27" s="46">
        <v>7.5650000000000004</v>
      </c>
      <c r="AE27" s="47">
        <f t="shared" si="29"/>
        <v>0.94562500000000005</v>
      </c>
      <c r="AF27" s="46">
        <v>7.5069999999999997</v>
      </c>
      <c r="AG27" s="47">
        <f t="shared" si="30"/>
        <v>0.93837499999999996</v>
      </c>
      <c r="AH27" s="46">
        <v>6.907</v>
      </c>
      <c r="AI27" s="47">
        <f t="shared" si="31"/>
        <v>0.863375</v>
      </c>
      <c r="AJ27" s="46">
        <v>6.4189999999999996</v>
      </c>
      <c r="AK27" s="47">
        <f t="shared" si="32"/>
        <v>0.80237499999999995</v>
      </c>
      <c r="AL27" s="46">
        <v>5.7089999999999996</v>
      </c>
      <c r="AM27" s="47">
        <f t="shared" si="33"/>
        <v>0.71362499999999995</v>
      </c>
      <c r="AN27" s="46">
        <v>4.21</v>
      </c>
      <c r="AO27" s="47">
        <f t="shared" si="34"/>
        <v>0.52625</v>
      </c>
      <c r="AP27" s="46">
        <v>3.5070000000000001</v>
      </c>
      <c r="AQ27" s="47">
        <f t="shared" si="35"/>
        <v>0.43837500000000001</v>
      </c>
      <c r="AR27" s="46">
        <v>2.7240000000000002</v>
      </c>
      <c r="AS27" s="47">
        <f t="shared" si="36"/>
        <v>0.34050000000000002</v>
      </c>
      <c r="AT27" s="46">
        <v>2.5099999999999998</v>
      </c>
      <c r="AU27" s="47">
        <f t="shared" si="37"/>
        <v>0.31374999999999997</v>
      </c>
      <c r="AV27" s="46">
        <v>2.2869999999999999</v>
      </c>
      <c r="AW27" s="47">
        <f t="shared" si="38"/>
        <v>0.28587499999999999</v>
      </c>
      <c r="AX27" s="46">
        <v>1.9279999999999999</v>
      </c>
      <c r="AY27" s="47">
        <f t="shared" si="39"/>
        <v>0.24099999999999999</v>
      </c>
      <c r="AZ27" s="46">
        <v>1.649</v>
      </c>
      <c r="BA27" s="47">
        <f t="shared" si="40"/>
        <v>0.206125</v>
      </c>
      <c r="BB27" s="46">
        <v>1.6140000000000001</v>
      </c>
      <c r="BC27" s="47">
        <f t="shared" si="41"/>
        <v>0.20175000000000001</v>
      </c>
      <c r="BD27" s="46">
        <v>1.573</v>
      </c>
      <c r="BE27" s="47">
        <f t="shared" si="42"/>
        <v>0.19662499999999999</v>
      </c>
      <c r="BF27" s="46">
        <v>1.51</v>
      </c>
      <c r="BG27" s="47">
        <f t="shared" si="43"/>
        <v>0.18875</v>
      </c>
      <c r="BH27" s="46">
        <v>1.452</v>
      </c>
      <c r="BI27" s="47">
        <f t="shared" si="44"/>
        <v>0.18149999999999999</v>
      </c>
      <c r="BJ27" s="36" t="s">
        <v>42</v>
      </c>
    </row>
    <row r="28" spans="1:66">
      <c r="A28" s="38" t="s">
        <v>72</v>
      </c>
      <c r="B28" s="38" t="s">
        <v>90</v>
      </c>
      <c r="C28" s="39">
        <v>12</v>
      </c>
      <c r="D28" s="98" t="s">
        <v>91</v>
      </c>
      <c r="E28" s="42">
        <v>4</v>
      </c>
      <c r="F28" s="42">
        <v>4</v>
      </c>
      <c r="G28" s="42">
        <v>4</v>
      </c>
      <c r="H28" s="42">
        <v>4</v>
      </c>
      <c r="I28" s="42">
        <v>4</v>
      </c>
      <c r="J28" s="42">
        <v>4</v>
      </c>
      <c r="K28" s="108">
        <v>4</v>
      </c>
      <c r="L28" s="109">
        <v>4</v>
      </c>
      <c r="M28" s="115">
        <v>4</v>
      </c>
      <c r="N28" s="115">
        <v>4</v>
      </c>
      <c r="O28" s="116">
        <v>4</v>
      </c>
      <c r="P28" s="116">
        <v>4</v>
      </c>
      <c r="Q28" s="116">
        <v>4</v>
      </c>
      <c r="R28" s="46">
        <v>2.71</v>
      </c>
      <c r="S28" s="47">
        <f t="shared" si="23"/>
        <v>0.67749999999999999</v>
      </c>
      <c r="T28" s="46">
        <v>3.83</v>
      </c>
      <c r="U28" s="47">
        <f t="shared" si="24"/>
        <v>0.95750000000000002</v>
      </c>
      <c r="V28" s="46">
        <v>4</v>
      </c>
      <c r="W28" s="47">
        <f t="shared" si="25"/>
        <v>1</v>
      </c>
      <c r="X28" s="46">
        <v>4.04</v>
      </c>
      <c r="Y28" s="47">
        <f t="shared" si="26"/>
        <v>1.01</v>
      </c>
      <c r="Z28" s="46">
        <v>4.04</v>
      </c>
      <c r="AA28" s="47">
        <f t="shared" si="27"/>
        <v>1.01</v>
      </c>
      <c r="AB28" s="46">
        <v>4</v>
      </c>
      <c r="AC28" s="47">
        <f t="shared" si="28"/>
        <v>1</v>
      </c>
      <c r="AD28" s="46">
        <v>3.9449999999999998</v>
      </c>
      <c r="AE28" s="47">
        <f t="shared" si="29"/>
        <v>0.98624999999999996</v>
      </c>
      <c r="AF28" s="46">
        <v>3.67</v>
      </c>
      <c r="AG28" s="47">
        <f t="shared" si="30"/>
        <v>0.91749999999999998</v>
      </c>
      <c r="AH28" s="46">
        <v>3.55</v>
      </c>
      <c r="AI28" s="47">
        <f t="shared" si="31"/>
        <v>0.88749999999999996</v>
      </c>
      <c r="AJ28" s="46">
        <v>3.32</v>
      </c>
      <c r="AK28" s="47">
        <f t="shared" si="32"/>
        <v>0.83</v>
      </c>
      <c r="AL28" s="46">
        <v>3</v>
      </c>
      <c r="AM28" s="47">
        <f t="shared" si="33"/>
        <v>0.75</v>
      </c>
      <c r="AN28" s="46">
        <v>2.35</v>
      </c>
      <c r="AO28" s="47">
        <f t="shared" si="34"/>
        <v>0.58750000000000002</v>
      </c>
      <c r="AP28" s="46">
        <v>2.02</v>
      </c>
      <c r="AQ28" s="47">
        <f t="shared" si="35"/>
        <v>0.505</v>
      </c>
      <c r="AR28" s="46">
        <v>1.58</v>
      </c>
      <c r="AS28" s="47">
        <f t="shared" si="36"/>
        <v>0.39500000000000002</v>
      </c>
      <c r="AT28" s="46">
        <v>1.44</v>
      </c>
      <c r="AU28" s="47">
        <f t="shared" si="37"/>
        <v>0.36</v>
      </c>
      <c r="AV28" s="46">
        <v>1.3</v>
      </c>
      <c r="AW28" s="47">
        <f t="shared" si="38"/>
        <v>0.32500000000000001</v>
      </c>
      <c r="AX28" s="46">
        <v>1.24</v>
      </c>
      <c r="AY28" s="47">
        <f t="shared" si="39"/>
        <v>0.31</v>
      </c>
      <c r="AZ28" s="46">
        <v>1.17</v>
      </c>
      <c r="BA28" s="47">
        <f t="shared" si="40"/>
        <v>0.29249999999999998</v>
      </c>
      <c r="BB28" s="46">
        <v>1.1399999999999999</v>
      </c>
      <c r="BC28" s="47">
        <f t="shared" si="41"/>
        <v>0.28499999999999998</v>
      </c>
      <c r="BD28" s="46">
        <v>1.06</v>
      </c>
      <c r="BE28" s="47">
        <f t="shared" si="42"/>
        <v>0.26500000000000001</v>
      </c>
      <c r="BF28" s="46">
        <v>1.03</v>
      </c>
      <c r="BG28" s="47">
        <f t="shared" si="43"/>
        <v>0.25750000000000001</v>
      </c>
      <c r="BH28" s="46">
        <v>1.0249999999999999</v>
      </c>
      <c r="BI28" s="47">
        <f t="shared" si="44"/>
        <v>0.25624999999999998</v>
      </c>
      <c r="BJ28" s="36" t="s">
        <v>92</v>
      </c>
      <c r="BK28" s="119"/>
    </row>
    <row r="29" spans="1:66">
      <c r="A29" s="38" t="s">
        <v>72</v>
      </c>
      <c r="B29" s="38" t="s">
        <v>93</v>
      </c>
      <c r="C29" s="39">
        <v>38</v>
      </c>
      <c r="D29" s="98" t="s">
        <v>94</v>
      </c>
      <c r="E29" s="42">
        <v>60</v>
      </c>
      <c r="F29" s="42">
        <v>60</v>
      </c>
      <c r="G29" s="42">
        <v>60</v>
      </c>
      <c r="H29" s="42">
        <v>60</v>
      </c>
      <c r="I29" s="42">
        <v>60</v>
      </c>
      <c r="J29" s="42">
        <v>60</v>
      </c>
      <c r="K29" s="108">
        <v>60</v>
      </c>
      <c r="L29" s="109">
        <v>60</v>
      </c>
      <c r="M29" s="115">
        <v>60</v>
      </c>
      <c r="N29" s="115">
        <v>60</v>
      </c>
      <c r="O29" s="116">
        <v>60.57</v>
      </c>
      <c r="P29" s="116">
        <v>60.57</v>
      </c>
      <c r="Q29" s="116">
        <v>60.57</v>
      </c>
      <c r="R29" s="120">
        <v>29.2</v>
      </c>
      <c r="S29" s="47">
        <f t="shared" si="23"/>
        <v>0.48208684167079413</v>
      </c>
      <c r="T29" s="120">
        <v>41.42</v>
      </c>
      <c r="U29" s="47">
        <f t="shared" si="24"/>
        <v>0.6838368829453525</v>
      </c>
      <c r="V29" s="120">
        <v>43.54</v>
      </c>
      <c r="W29" s="47">
        <f t="shared" si="25"/>
        <v>0.71883770843651973</v>
      </c>
      <c r="X29" s="120">
        <v>48.33</v>
      </c>
      <c r="Y29" s="47">
        <f t="shared" si="26"/>
        <v>0.79791976225854377</v>
      </c>
      <c r="Z29" s="120">
        <v>53.53</v>
      </c>
      <c r="AA29" s="47">
        <f t="shared" si="27"/>
        <v>0.88377084365197289</v>
      </c>
      <c r="AB29" s="120">
        <v>57.58</v>
      </c>
      <c r="AC29" s="47">
        <f t="shared" si="28"/>
        <v>0.95063562819877823</v>
      </c>
      <c r="AD29" s="120">
        <v>57.35</v>
      </c>
      <c r="AE29" s="47">
        <f t="shared" si="29"/>
        <v>0.94683836882945349</v>
      </c>
      <c r="AF29" s="120">
        <v>55.55</v>
      </c>
      <c r="AG29" s="47">
        <f t="shared" si="30"/>
        <v>0.91712068680865111</v>
      </c>
      <c r="AH29" s="120">
        <v>53.11</v>
      </c>
      <c r="AI29" s="47">
        <f t="shared" si="31"/>
        <v>0.87683671784711903</v>
      </c>
      <c r="AJ29" s="120">
        <v>48.77</v>
      </c>
      <c r="AK29" s="47">
        <f t="shared" si="32"/>
        <v>0.80518408453029555</v>
      </c>
      <c r="AL29" s="120">
        <v>40.880000000000003</v>
      </c>
      <c r="AM29" s="47">
        <f t="shared" si="33"/>
        <v>0.67492157833911182</v>
      </c>
      <c r="AN29" s="120">
        <v>32.479999999999997</v>
      </c>
      <c r="AO29" s="47">
        <f t="shared" si="34"/>
        <v>0.53623906224203399</v>
      </c>
      <c r="AP29" s="120">
        <v>26.29</v>
      </c>
      <c r="AQ29" s="47">
        <f t="shared" si="35"/>
        <v>0.43404325573716357</v>
      </c>
      <c r="AR29" s="120">
        <v>21.1</v>
      </c>
      <c r="AS29" s="47">
        <f t="shared" si="36"/>
        <v>0.34835727257718346</v>
      </c>
      <c r="AT29" s="120">
        <v>17.55</v>
      </c>
      <c r="AU29" s="47">
        <f t="shared" si="37"/>
        <v>0.28974739970282321</v>
      </c>
      <c r="AV29" s="120">
        <v>16.21</v>
      </c>
      <c r="AW29" s="47">
        <f t="shared" si="38"/>
        <v>0.26762423642067029</v>
      </c>
      <c r="AX29" s="120">
        <v>14.69</v>
      </c>
      <c r="AY29" s="47">
        <f t="shared" si="39"/>
        <v>0.24252930493643718</v>
      </c>
      <c r="AZ29" s="120">
        <v>13.24</v>
      </c>
      <c r="BA29" s="47">
        <f t="shared" si="40"/>
        <v>0.21859006108634638</v>
      </c>
      <c r="BB29" s="120">
        <v>12.31</v>
      </c>
      <c r="BC29" s="47">
        <f t="shared" si="41"/>
        <v>0.20323592537559848</v>
      </c>
      <c r="BD29" s="120">
        <v>10.79</v>
      </c>
      <c r="BE29" s="47">
        <f t="shared" si="42"/>
        <v>0.17814099389136534</v>
      </c>
      <c r="BF29" s="120">
        <v>8.98</v>
      </c>
      <c r="BG29" s="47">
        <f t="shared" si="43"/>
        <v>0.14825821363711408</v>
      </c>
      <c r="BH29" s="120">
        <v>10.56</v>
      </c>
      <c r="BI29" s="47">
        <f t="shared" si="44"/>
        <v>0.17434373452204063</v>
      </c>
      <c r="BJ29" s="101" t="s">
        <v>95</v>
      </c>
    </row>
    <row r="30" spans="1:66">
      <c r="A30" s="38" t="s">
        <v>72</v>
      </c>
      <c r="B30" s="38" t="s">
        <v>96</v>
      </c>
      <c r="C30" s="39">
        <v>34</v>
      </c>
      <c r="D30" s="98" t="s">
        <v>79</v>
      </c>
      <c r="E30" s="42">
        <v>2.11</v>
      </c>
      <c r="F30" s="42">
        <v>2.11</v>
      </c>
      <c r="G30" s="42">
        <v>2.11</v>
      </c>
      <c r="H30" s="42">
        <v>2.11</v>
      </c>
      <c r="I30" s="42">
        <v>2.11</v>
      </c>
      <c r="J30" s="42">
        <v>2.11</v>
      </c>
      <c r="K30" s="108">
        <v>2.11</v>
      </c>
      <c r="L30" s="109">
        <v>2.11</v>
      </c>
      <c r="M30" s="115">
        <v>2.1</v>
      </c>
      <c r="N30" s="115">
        <v>2.1</v>
      </c>
      <c r="O30" s="116">
        <v>2.1</v>
      </c>
      <c r="P30" s="116">
        <v>2.1</v>
      </c>
      <c r="Q30" s="116">
        <v>2.1</v>
      </c>
      <c r="R30" s="46">
        <v>1.827</v>
      </c>
      <c r="S30" s="47">
        <f t="shared" si="23"/>
        <v>0.87</v>
      </c>
      <c r="T30" s="46">
        <v>1.4039999999999999</v>
      </c>
      <c r="U30" s="47">
        <f t="shared" si="24"/>
        <v>0.66857142857142848</v>
      </c>
      <c r="V30" s="46">
        <v>1.417</v>
      </c>
      <c r="W30" s="47">
        <f t="shared" si="25"/>
        <v>0.67476190476190478</v>
      </c>
      <c r="X30" s="46">
        <v>1.446</v>
      </c>
      <c r="Y30" s="47">
        <f t="shared" si="26"/>
        <v>0.6885714285714285</v>
      </c>
      <c r="Z30" s="46">
        <v>1.4219999999999999</v>
      </c>
      <c r="AA30" s="47">
        <f t="shared" si="27"/>
        <v>0.67714285714285705</v>
      </c>
      <c r="AB30" s="46">
        <v>1.3480000000000001</v>
      </c>
      <c r="AC30" s="47">
        <f t="shared" si="28"/>
        <v>0.64190476190476187</v>
      </c>
      <c r="AD30" s="46">
        <v>1.2709999999999999</v>
      </c>
      <c r="AE30" s="47">
        <f t="shared" si="29"/>
        <v>0.60523809523809513</v>
      </c>
      <c r="AF30" s="46">
        <v>1.1759999999999999</v>
      </c>
      <c r="AG30" s="47">
        <f t="shared" si="30"/>
        <v>0.55999999999999994</v>
      </c>
      <c r="AH30" s="46">
        <v>1.0860000000000001</v>
      </c>
      <c r="AI30" s="47">
        <f t="shared" si="31"/>
        <v>0.51714285714285713</v>
      </c>
      <c r="AJ30" s="46">
        <v>0.97699999999999998</v>
      </c>
      <c r="AK30" s="47">
        <f t="shared" si="32"/>
        <v>0.46523809523809523</v>
      </c>
      <c r="AL30" s="46">
        <v>0.84099999999999997</v>
      </c>
      <c r="AM30" s="47">
        <f t="shared" si="33"/>
        <v>0.40047619047619043</v>
      </c>
      <c r="AN30" s="46">
        <v>0.64500000000000002</v>
      </c>
      <c r="AO30" s="47">
        <f t="shared" si="34"/>
        <v>0.30714285714285716</v>
      </c>
      <c r="AP30" s="46">
        <v>0.49099999999999999</v>
      </c>
      <c r="AQ30" s="47">
        <f t="shared" si="35"/>
        <v>0.2338095238095238</v>
      </c>
      <c r="AR30" s="46">
        <v>0.33600000000000002</v>
      </c>
      <c r="AS30" s="47">
        <f t="shared" si="36"/>
        <v>0.16</v>
      </c>
      <c r="AT30" s="46">
        <v>0.3</v>
      </c>
      <c r="AU30" s="47">
        <f t="shared" si="37"/>
        <v>0.14285714285714285</v>
      </c>
      <c r="AV30" s="46">
        <v>0.17899999999999999</v>
      </c>
      <c r="AW30" s="47">
        <f t="shared" si="38"/>
        <v>8.5238095238095238E-2</v>
      </c>
      <c r="AX30" s="46">
        <v>0.104</v>
      </c>
      <c r="AY30" s="47">
        <f t="shared" si="39"/>
        <v>4.9523809523809519E-2</v>
      </c>
      <c r="AZ30" s="46">
        <v>0.26300000000000001</v>
      </c>
      <c r="BA30" s="47">
        <f t="shared" si="40"/>
        <v>0.12523809523809523</v>
      </c>
      <c r="BB30" s="46">
        <v>0.26400000000000001</v>
      </c>
      <c r="BC30" s="47">
        <f t="shared" si="41"/>
        <v>0.12571428571428572</v>
      </c>
      <c r="BD30" s="46">
        <v>0.23699999999999999</v>
      </c>
      <c r="BE30" s="47">
        <f t="shared" si="42"/>
        <v>0.11285714285714285</v>
      </c>
      <c r="BF30" s="46">
        <v>0.24</v>
      </c>
      <c r="BG30" s="47">
        <f t="shared" si="43"/>
        <v>0.11428571428571428</v>
      </c>
      <c r="BH30" s="46">
        <v>0.224</v>
      </c>
      <c r="BI30" s="47">
        <f t="shared" si="44"/>
        <v>0.10666666666666666</v>
      </c>
      <c r="BJ30" s="121" t="s">
        <v>80</v>
      </c>
    </row>
    <row r="31" spans="1:66" s="73" customFormat="1" ht="13.5" customHeight="1">
      <c r="A31" s="453" t="s">
        <v>97</v>
      </c>
      <c r="B31" s="453"/>
      <c r="C31" s="122"/>
      <c r="D31" s="123"/>
      <c r="E31" s="65">
        <f t="shared" ref="E31:O31" si="45">SUM(E20:E30)</f>
        <v>125.77</v>
      </c>
      <c r="F31" s="124">
        <f t="shared" si="45"/>
        <v>139.31</v>
      </c>
      <c r="G31" s="124">
        <f t="shared" si="45"/>
        <v>136.61000000000001</v>
      </c>
      <c r="H31" s="124">
        <f t="shared" si="45"/>
        <v>136.61000000000001</v>
      </c>
      <c r="I31" s="124">
        <f t="shared" si="45"/>
        <v>136.61000000000001</v>
      </c>
      <c r="J31" s="124">
        <f t="shared" si="45"/>
        <v>136.61000000000001</v>
      </c>
      <c r="K31" s="124">
        <f t="shared" si="45"/>
        <v>136.61000000000001</v>
      </c>
      <c r="L31" s="125">
        <f t="shared" si="45"/>
        <v>136.61000000000001</v>
      </c>
      <c r="M31" s="126">
        <f t="shared" si="45"/>
        <v>137.15</v>
      </c>
      <c r="N31" s="126">
        <f t="shared" si="45"/>
        <v>137.10999999999999</v>
      </c>
      <c r="O31" s="127">
        <f t="shared" si="45"/>
        <v>137.67999999999998</v>
      </c>
      <c r="P31" s="127">
        <v>137.68</v>
      </c>
      <c r="Q31" s="127">
        <f>SUM(Q20:Q30)</f>
        <v>137.67999999999998</v>
      </c>
      <c r="R31" s="69">
        <v>81.796999999999997</v>
      </c>
      <c r="S31" s="70">
        <f>R31/($Q31)</f>
        <v>0.59410952934340511</v>
      </c>
      <c r="T31" s="69">
        <v>103.834</v>
      </c>
      <c r="U31" s="70">
        <f>T31/($Q31)</f>
        <v>0.75416908773968638</v>
      </c>
      <c r="V31" s="69">
        <v>109.80500000000001</v>
      </c>
      <c r="W31" s="70">
        <f>V31/($Q31)</f>
        <v>0.79753776873910531</v>
      </c>
      <c r="X31" s="69">
        <v>117.334</v>
      </c>
      <c r="Y31" s="70">
        <f>X31/($Q31)</f>
        <v>0.85222254503195827</v>
      </c>
      <c r="Z31" s="69">
        <v>126.005</v>
      </c>
      <c r="AA31" s="70">
        <f>Z31/($Q31)</f>
        <v>0.9152019174898316</v>
      </c>
      <c r="AB31" s="69">
        <v>129.56700000000001</v>
      </c>
      <c r="AC31" s="70">
        <f>AB31/($Q31)</f>
        <v>0.94107350377687415</v>
      </c>
      <c r="AD31" s="69">
        <v>127.736</v>
      </c>
      <c r="AE31" s="70">
        <f>AD31/($Q31)</f>
        <v>0.9277745496804185</v>
      </c>
      <c r="AF31" s="69">
        <v>124.071</v>
      </c>
      <c r="AG31" s="70">
        <f>AF31/($Q31)</f>
        <v>0.90115485183033128</v>
      </c>
      <c r="AH31" s="69">
        <v>119.77800000000001</v>
      </c>
      <c r="AI31" s="70">
        <f>AH31/($Q31)</f>
        <v>0.86997385241138891</v>
      </c>
      <c r="AJ31" s="69">
        <v>111.715</v>
      </c>
      <c r="AK31" s="70">
        <f>AJ31/($Q31)</f>
        <v>0.81141051714119716</v>
      </c>
      <c r="AL31" s="69">
        <v>99.215999999999994</v>
      </c>
      <c r="AM31" s="70">
        <f>AL31/($Q31)</f>
        <v>0.72062754212667057</v>
      </c>
      <c r="AN31" s="69">
        <v>82.944999999999993</v>
      </c>
      <c r="AO31" s="70">
        <f>AN31/($Q31-Q22)</f>
        <v>0.61177902345478685</v>
      </c>
      <c r="AP31" s="69">
        <v>72.617000000000004</v>
      </c>
      <c r="AQ31" s="70">
        <f>AP31/($Q31-Q22)</f>
        <v>0.53560259625313478</v>
      </c>
      <c r="AR31" s="69">
        <v>60.985999999999997</v>
      </c>
      <c r="AS31" s="70">
        <f>AR31/($Q31)</f>
        <v>0.44295467751307382</v>
      </c>
      <c r="AT31" s="69">
        <v>54.72</v>
      </c>
      <c r="AU31" s="70">
        <f>AT31/($Q31)</f>
        <v>0.39744334689134231</v>
      </c>
      <c r="AV31" s="69">
        <v>50.098999999999997</v>
      </c>
      <c r="AW31" s="70">
        <f>AV31/($Q31)</f>
        <v>0.36388001162115052</v>
      </c>
      <c r="AX31" s="69">
        <v>46.482999999999997</v>
      </c>
      <c r="AY31" s="70">
        <f>AX31/($Q31)</f>
        <v>0.33761621150493903</v>
      </c>
      <c r="AZ31" s="69">
        <v>42.837000000000003</v>
      </c>
      <c r="BA31" s="70">
        <f>AZ31/($Q31)</f>
        <v>0.31113451481696697</v>
      </c>
      <c r="BB31" s="69">
        <v>40.859000000000002</v>
      </c>
      <c r="BC31" s="70">
        <f>BB31/($Q31)</f>
        <v>0.29676786751888445</v>
      </c>
      <c r="BD31" s="69">
        <v>37.433</v>
      </c>
      <c r="BE31" s="70">
        <f>BD31/($Q31)</f>
        <v>0.27188407902382339</v>
      </c>
      <c r="BF31" s="69">
        <f>SUM(BF20:BF30)</f>
        <v>34.457000000000008</v>
      </c>
      <c r="BG31" s="70">
        <f>BF31/($Q31)</f>
        <v>0.2502687391051715</v>
      </c>
      <c r="BH31" s="69">
        <f>SUM(BH20:BH30)</f>
        <v>35.550999999999995</v>
      </c>
      <c r="BI31" s="70">
        <f>BH31/($Q31)</f>
        <v>0.25821470075537478</v>
      </c>
      <c r="BJ31" s="71"/>
      <c r="BK31" s="72"/>
    </row>
    <row r="32" spans="1:66" ht="7.5" customHeight="1">
      <c r="A32" s="102"/>
      <c r="B32" s="102"/>
      <c r="C32" s="103"/>
      <c r="D32" s="104"/>
      <c r="E32" s="96"/>
      <c r="F32" s="96"/>
      <c r="G32" s="96"/>
      <c r="H32" s="96"/>
      <c r="I32" s="96"/>
      <c r="J32" s="96"/>
      <c r="K32" s="96"/>
      <c r="L32" s="105"/>
      <c r="M32" s="128"/>
      <c r="N32" s="128"/>
      <c r="O32" s="129"/>
      <c r="P32" s="129"/>
      <c r="Q32" s="129"/>
      <c r="R32" s="80"/>
      <c r="S32" s="81"/>
      <c r="T32" s="80"/>
      <c r="U32" s="81"/>
      <c r="V32" s="80"/>
      <c r="W32" s="81"/>
      <c r="X32" s="80"/>
      <c r="Y32" s="81"/>
      <c r="Z32" s="80"/>
      <c r="AA32" s="81"/>
      <c r="AB32" s="80"/>
      <c r="AC32" s="81"/>
      <c r="AD32" s="80"/>
      <c r="AE32" s="81"/>
      <c r="AF32" s="80"/>
      <c r="AG32" s="81"/>
      <c r="AH32" s="80"/>
      <c r="AI32" s="81"/>
      <c r="AJ32" s="80"/>
      <c r="AK32" s="81"/>
      <c r="AL32" s="80"/>
      <c r="AM32" s="81"/>
      <c r="AN32" s="80"/>
      <c r="AO32" s="81"/>
      <c r="AP32" s="80"/>
      <c r="AQ32" s="81"/>
      <c r="AR32" s="80"/>
      <c r="AS32" s="81"/>
      <c r="AT32" s="80"/>
      <c r="AU32" s="81"/>
      <c r="AV32" s="80"/>
      <c r="AW32" s="81"/>
      <c r="AX32" s="80"/>
      <c r="AY32" s="81"/>
      <c r="AZ32" s="80"/>
      <c r="BA32" s="81"/>
      <c r="BB32" s="80"/>
      <c r="BC32" s="81"/>
      <c r="BD32" s="80"/>
      <c r="BE32" s="81"/>
      <c r="BF32" s="80"/>
      <c r="BG32" s="81"/>
      <c r="BH32" s="80"/>
      <c r="BI32" s="81"/>
      <c r="BJ32" s="82"/>
    </row>
    <row r="33" spans="1:63">
      <c r="A33" s="38" t="s">
        <v>98</v>
      </c>
      <c r="B33" s="38" t="s">
        <v>99</v>
      </c>
      <c r="C33" s="39">
        <v>28</v>
      </c>
      <c r="D33" s="98" t="s">
        <v>100</v>
      </c>
      <c r="E33" s="42">
        <v>10</v>
      </c>
      <c r="F33" s="42">
        <v>10</v>
      </c>
      <c r="G33" s="42">
        <v>10</v>
      </c>
      <c r="H33" s="42">
        <v>10</v>
      </c>
      <c r="I33" s="42">
        <v>10</v>
      </c>
      <c r="J33" s="42">
        <v>10</v>
      </c>
      <c r="K33" s="42">
        <v>10</v>
      </c>
      <c r="L33" s="43">
        <v>10</v>
      </c>
      <c r="M33" s="44">
        <v>10</v>
      </c>
      <c r="N33" s="44">
        <v>10</v>
      </c>
      <c r="O33" s="45">
        <v>10</v>
      </c>
      <c r="P33" s="45">
        <v>10</v>
      </c>
      <c r="Q33" s="45">
        <v>10</v>
      </c>
      <c r="R33" s="112">
        <v>8.3309999999999995</v>
      </c>
      <c r="S33" s="113">
        <f t="shared" ref="S33:S43" si="46">R33/$Q33</f>
        <v>0.83309999999999995</v>
      </c>
      <c r="T33" s="112">
        <v>10</v>
      </c>
      <c r="U33" s="113">
        <f t="shared" ref="U33:U43" si="47">T33/$Q33</f>
        <v>1</v>
      </c>
      <c r="V33" s="112">
        <v>10</v>
      </c>
      <c r="W33" s="113">
        <f t="shared" ref="W33:W43" si="48">V33/$Q33</f>
        <v>1</v>
      </c>
      <c r="X33" s="112">
        <v>10</v>
      </c>
      <c r="Y33" s="113">
        <f t="shared" ref="Y33:Y43" si="49">X33/$Q33</f>
        <v>1</v>
      </c>
      <c r="Z33" s="112">
        <v>10</v>
      </c>
      <c r="AA33" s="113">
        <f t="shared" ref="AA33:AA43" si="50">Z33/$Q33</f>
        <v>1</v>
      </c>
      <c r="AB33" s="112">
        <v>9.8149999999999995</v>
      </c>
      <c r="AC33" s="113">
        <f t="shared" ref="AC33:AC43" si="51">AB33/$Q33</f>
        <v>0.98149999999999993</v>
      </c>
      <c r="AD33" s="112">
        <v>9.5839999999999996</v>
      </c>
      <c r="AE33" s="113">
        <f t="shared" ref="AE33:AE43" si="52">AD33/$Q33</f>
        <v>0.95839999999999992</v>
      </c>
      <c r="AF33" s="112">
        <v>9.2799999999999994</v>
      </c>
      <c r="AG33" s="113">
        <f t="shared" ref="AG33:AG43" si="53">AF33/$Q33</f>
        <v>0.92799999999999994</v>
      </c>
      <c r="AH33" s="112">
        <v>8.109</v>
      </c>
      <c r="AI33" s="113">
        <f t="shared" ref="AI33:AI43" si="54">AH33/$Q33</f>
        <v>0.81089999999999995</v>
      </c>
      <c r="AJ33" s="112">
        <v>7.1970000000000001</v>
      </c>
      <c r="AK33" s="113">
        <f t="shared" ref="AK33:AK43" si="55">AJ33/$Q33</f>
        <v>0.71970000000000001</v>
      </c>
      <c r="AL33" s="112">
        <v>6.2080000000000002</v>
      </c>
      <c r="AM33" s="113">
        <f t="shared" ref="AM33:AM43" si="56">AL33/$Q33</f>
        <v>0.62080000000000002</v>
      </c>
      <c r="AN33" s="112">
        <v>4.32</v>
      </c>
      <c r="AO33" s="113">
        <f t="shared" ref="AO33:AO43" si="57">AN33/$Q33</f>
        <v>0.43200000000000005</v>
      </c>
      <c r="AP33" s="112">
        <v>3.4990000000000001</v>
      </c>
      <c r="AQ33" s="113">
        <f t="shared" ref="AQ33:AQ43" si="58">AP33/$Q33</f>
        <v>0.34989999999999999</v>
      </c>
      <c r="AR33" s="112">
        <v>2.3090000000000002</v>
      </c>
      <c r="AS33" s="113">
        <f t="shared" ref="AS33:AS43" si="59">AR33/$Q33</f>
        <v>0.23090000000000002</v>
      </c>
      <c r="AT33" s="112">
        <v>2.08</v>
      </c>
      <c r="AU33" s="113">
        <f t="shared" ref="AU33:AU43" si="60">AT33/$Q33</f>
        <v>0.20800000000000002</v>
      </c>
      <c r="AV33" s="112">
        <v>2.0579999999999998</v>
      </c>
      <c r="AW33" s="113">
        <f t="shared" ref="AW33:AW43" si="61">AV33/$Q33</f>
        <v>0.20579999999999998</v>
      </c>
      <c r="AX33" s="112">
        <v>1.7270000000000001</v>
      </c>
      <c r="AY33" s="113">
        <f t="shared" ref="AY33:AY43" si="62">AX33/$Q33</f>
        <v>0.17270000000000002</v>
      </c>
      <c r="AZ33" s="112">
        <v>1.415</v>
      </c>
      <c r="BA33" s="113">
        <f t="shared" ref="BA33:BA43" si="63">AZ33/$Q33</f>
        <v>0.14150000000000001</v>
      </c>
      <c r="BB33" s="112">
        <v>1.3380000000000001</v>
      </c>
      <c r="BC33" s="113">
        <f t="shared" ref="BC33:BC43" si="64">BB33/$Q33</f>
        <v>0.1338</v>
      </c>
      <c r="BD33" s="112">
        <v>1.1659999999999999</v>
      </c>
      <c r="BE33" s="113">
        <f t="shared" ref="BE33:BE43" si="65">BD33/$Q33</f>
        <v>0.1166</v>
      </c>
      <c r="BF33" s="112">
        <v>1.04</v>
      </c>
      <c r="BG33" s="113">
        <f t="shared" ref="BG33:BG43" si="66">BF33/$Q33</f>
        <v>0.10400000000000001</v>
      </c>
      <c r="BH33" s="112">
        <v>1.3220000000000001</v>
      </c>
      <c r="BI33" s="113">
        <f t="shared" ref="BI33:BI43" si="67">BH33/$Q33</f>
        <v>0.13220000000000001</v>
      </c>
      <c r="BJ33" s="36" t="s">
        <v>42</v>
      </c>
    </row>
    <row r="34" spans="1:63">
      <c r="A34" s="38" t="s">
        <v>98</v>
      </c>
      <c r="B34" s="38" t="s">
        <v>101</v>
      </c>
      <c r="C34" s="39">
        <v>43</v>
      </c>
      <c r="D34" s="98" t="s">
        <v>102</v>
      </c>
      <c r="E34" s="42">
        <v>2.2999999999999998</v>
      </c>
      <c r="F34" s="42">
        <v>2.2999999999999998</v>
      </c>
      <c r="G34" s="42">
        <v>2.2999999999999998</v>
      </c>
      <c r="H34" s="42">
        <v>2.2999999999999998</v>
      </c>
      <c r="I34" s="42">
        <v>2.2999999999999998</v>
      </c>
      <c r="J34" s="42">
        <v>2.2999999999999998</v>
      </c>
      <c r="K34" s="42">
        <v>2.2999999999999998</v>
      </c>
      <c r="L34" s="43">
        <v>2.2999999999999998</v>
      </c>
      <c r="M34" s="44">
        <v>2.2999999999999998</v>
      </c>
      <c r="N34" s="44">
        <v>2.2999999999999998</v>
      </c>
      <c r="O34" s="45">
        <v>2.2999999999999998</v>
      </c>
      <c r="P34" s="45">
        <v>2.2999999999999998</v>
      </c>
      <c r="Q34" s="45">
        <v>2.2999999999999998</v>
      </c>
      <c r="R34" s="46">
        <v>2.2999999999999998</v>
      </c>
      <c r="S34" s="47">
        <f t="shared" si="46"/>
        <v>1</v>
      </c>
      <c r="T34" s="46">
        <v>2.2999999999999998</v>
      </c>
      <c r="U34" s="47">
        <f t="shared" si="47"/>
        <v>1</v>
      </c>
      <c r="V34" s="46">
        <v>2.2999999999999998</v>
      </c>
      <c r="W34" s="47">
        <f t="shared" si="48"/>
        <v>1</v>
      </c>
      <c r="X34" s="46">
        <v>2.2999999999999998</v>
      </c>
      <c r="Y34" s="47">
        <f t="shared" si="49"/>
        <v>1</v>
      </c>
      <c r="Z34" s="46">
        <v>2.2999999999999998</v>
      </c>
      <c r="AA34" s="47">
        <f t="shared" si="50"/>
        <v>1</v>
      </c>
      <c r="AB34" s="46">
        <v>2.278</v>
      </c>
      <c r="AC34" s="47">
        <f t="shared" si="51"/>
        <v>0.99043478260869577</v>
      </c>
      <c r="AD34" s="46">
        <v>2.2280000000000002</v>
      </c>
      <c r="AE34" s="47">
        <f t="shared" si="52"/>
        <v>0.96869565217391318</v>
      </c>
      <c r="AF34" s="46">
        <v>2.17</v>
      </c>
      <c r="AG34" s="47">
        <f t="shared" si="53"/>
        <v>0.94347826086956521</v>
      </c>
      <c r="AH34" s="46">
        <v>2.032</v>
      </c>
      <c r="AI34" s="47">
        <f t="shared" si="54"/>
        <v>0.88347826086956527</v>
      </c>
      <c r="AJ34" s="46">
        <v>1.8540000000000001</v>
      </c>
      <c r="AK34" s="47">
        <f t="shared" si="55"/>
        <v>0.80608695652173923</v>
      </c>
      <c r="AL34" s="46">
        <v>1.6319999999999999</v>
      </c>
      <c r="AM34" s="47">
        <f t="shared" si="56"/>
        <v>0.7095652173913044</v>
      </c>
      <c r="AN34" s="46">
        <v>1.1579999999999999</v>
      </c>
      <c r="AO34" s="47">
        <f t="shared" si="57"/>
        <v>0.50347826086956526</v>
      </c>
      <c r="AP34" s="46">
        <v>0.97899999999999998</v>
      </c>
      <c r="AQ34" s="47">
        <f t="shared" si="58"/>
        <v>0.4256521739130435</v>
      </c>
      <c r="AR34" s="46">
        <v>0.72099999999999997</v>
      </c>
      <c r="AS34" s="47">
        <f t="shared" si="59"/>
        <v>0.31347826086956521</v>
      </c>
      <c r="AT34" s="46">
        <v>0.63</v>
      </c>
      <c r="AU34" s="47">
        <f t="shared" si="60"/>
        <v>0.2739130434782609</v>
      </c>
      <c r="AV34" s="46">
        <v>0.58199999999999996</v>
      </c>
      <c r="AW34" s="47">
        <f t="shared" si="61"/>
        <v>0.25304347826086959</v>
      </c>
      <c r="AX34" s="46">
        <v>0.501</v>
      </c>
      <c r="AY34" s="47">
        <f t="shared" si="62"/>
        <v>0.21782608695652175</v>
      </c>
      <c r="AZ34" s="46">
        <v>0.47399999999999998</v>
      </c>
      <c r="BA34" s="47">
        <f t="shared" si="63"/>
        <v>0.20608695652173914</v>
      </c>
      <c r="BB34" s="46">
        <v>0.44900000000000001</v>
      </c>
      <c r="BC34" s="47">
        <f t="shared" si="64"/>
        <v>0.19521739130434784</v>
      </c>
      <c r="BD34" s="46">
        <v>0.42</v>
      </c>
      <c r="BE34" s="47">
        <f t="shared" si="65"/>
        <v>0.18260869565217391</v>
      </c>
      <c r="BF34" s="46">
        <v>0.38</v>
      </c>
      <c r="BG34" s="47">
        <f t="shared" si="66"/>
        <v>0.16521739130434784</v>
      </c>
      <c r="BH34" s="46">
        <v>0.44400000000000001</v>
      </c>
      <c r="BI34" s="47">
        <f t="shared" si="67"/>
        <v>0.19304347826086959</v>
      </c>
      <c r="BJ34" s="36" t="s">
        <v>42</v>
      </c>
    </row>
    <row r="35" spans="1:63">
      <c r="A35" s="38" t="s">
        <v>98</v>
      </c>
      <c r="B35" s="38" t="s">
        <v>103</v>
      </c>
      <c r="C35" s="39">
        <v>47</v>
      </c>
      <c r="D35" s="98" t="s">
        <v>104</v>
      </c>
      <c r="E35" s="42">
        <v>3.4</v>
      </c>
      <c r="F35" s="42">
        <v>3.4</v>
      </c>
      <c r="G35" s="42">
        <v>3.4</v>
      </c>
      <c r="H35" s="42">
        <v>3.4</v>
      </c>
      <c r="I35" s="42">
        <v>3.4</v>
      </c>
      <c r="J35" s="42">
        <v>3.4</v>
      </c>
      <c r="K35" s="42">
        <v>3.4</v>
      </c>
      <c r="L35" s="43">
        <v>3.4</v>
      </c>
      <c r="M35" s="130">
        <v>3.4</v>
      </c>
      <c r="N35" s="44">
        <v>3.4</v>
      </c>
      <c r="O35" s="45">
        <v>3.4</v>
      </c>
      <c r="P35" s="45">
        <v>3.4</v>
      </c>
      <c r="Q35" s="45">
        <v>3.4</v>
      </c>
      <c r="R35" s="46">
        <v>1.92</v>
      </c>
      <c r="S35" s="47">
        <f t="shared" si="46"/>
        <v>0.56470588235294117</v>
      </c>
      <c r="T35" s="46">
        <v>2.6059999999999999</v>
      </c>
      <c r="U35" s="47">
        <f t="shared" si="47"/>
        <v>0.76647058823529413</v>
      </c>
      <c r="V35" s="46">
        <v>2.6930000000000001</v>
      </c>
      <c r="W35" s="47">
        <f t="shared" si="48"/>
        <v>0.79205882352941182</v>
      </c>
      <c r="X35" s="46">
        <v>2.722</v>
      </c>
      <c r="Y35" s="47">
        <f t="shared" si="49"/>
        <v>0.80058823529411771</v>
      </c>
      <c r="Z35" s="46">
        <v>2.8719999999999999</v>
      </c>
      <c r="AA35" s="47">
        <f t="shared" si="50"/>
        <v>0.8447058823529412</v>
      </c>
      <c r="AB35" s="46">
        <v>2.2229999999999999</v>
      </c>
      <c r="AC35" s="47">
        <f t="shared" si="51"/>
        <v>0.65382352941176469</v>
      </c>
      <c r="AD35" s="46">
        <v>2.323</v>
      </c>
      <c r="AE35" s="47">
        <f t="shared" si="52"/>
        <v>0.68323529411764705</v>
      </c>
      <c r="AF35" s="46">
        <v>2.5670000000000002</v>
      </c>
      <c r="AG35" s="47">
        <f t="shared" si="53"/>
        <v>0.75500000000000012</v>
      </c>
      <c r="AH35" s="46">
        <v>2.3559999999999999</v>
      </c>
      <c r="AI35" s="47">
        <f t="shared" si="54"/>
        <v>0.69294117647058817</v>
      </c>
      <c r="AJ35" s="46">
        <v>2.0129999999999999</v>
      </c>
      <c r="AK35" s="47">
        <f t="shared" si="55"/>
        <v>0.59205882352941175</v>
      </c>
      <c r="AL35" s="46">
        <v>1.681</v>
      </c>
      <c r="AM35" s="47">
        <f t="shared" si="56"/>
        <v>0.49441176470588238</v>
      </c>
      <c r="AN35" s="46">
        <v>1.238</v>
      </c>
      <c r="AO35" s="47">
        <f t="shared" si="57"/>
        <v>0.36411764705882355</v>
      </c>
      <c r="AP35" s="46">
        <v>0.92</v>
      </c>
      <c r="AQ35" s="47">
        <f t="shared" si="58"/>
        <v>0.27058823529411768</v>
      </c>
      <c r="AR35" s="46">
        <v>0.83399999999999996</v>
      </c>
      <c r="AS35" s="47">
        <f t="shared" si="59"/>
        <v>0.24529411764705883</v>
      </c>
      <c r="AT35" s="46">
        <v>0.78</v>
      </c>
      <c r="AU35" s="47">
        <f t="shared" si="60"/>
        <v>0.22941176470588237</v>
      </c>
      <c r="AV35" s="46">
        <v>0.77700000000000002</v>
      </c>
      <c r="AW35" s="47">
        <f t="shared" si="61"/>
        <v>0.2285294117647059</v>
      </c>
      <c r="AX35" s="46">
        <v>0.69099999999999995</v>
      </c>
      <c r="AY35" s="47">
        <f t="shared" si="62"/>
        <v>0.20323529411764704</v>
      </c>
      <c r="AZ35" s="46">
        <v>0.73499999999999999</v>
      </c>
      <c r="BA35" s="47">
        <f t="shared" si="63"/>
        <v>0.2161764705882353</v>
      </c>
      <c r="BB35" s="46">
        <v>0.67</v>
      </c>
      <c r="BC35" s="47">
        <f t="shared" si="64"/>
        <v>0.19705882352941179</v>
      </c>
      <c r="BD35" s="46">
        <v>0.63</v>
      </c>
      <c r="BE35" s="47">
        <f t="shared" si="65"/>
        <v>0.18529411764705883</v>
      </c>
      <c r="BF35" s="46">
        <v>0.52</v>
      </c>
      <c r="BG35" s="47">
        <f t="shared" si="66"/>
        <v>0.15294117647058825</v>
      </c>
      <c r="BH35" s="46">
        <v>3.4</v>
      </c>
      <c r="BI35" s="47">
        <f t="shared" si="67"/>
        <v>1</v>
      </c>
      <c r="BJ35" s="36" t="s">
        <v>42</v>
      </c>
    </row>
    <row r="36" spans="1:63">
      <c r="A36" s="38" t="s">
        <v>98</v>
      </c>
      <c r="B36" s="38" t="s">
        <v>105</v>
      </c>
      <c r="C36" s="39">
        <v>27</v>
      </c>
      <c r="D36" s="98" t="s">
        <v>106</v>
      </c>
      <c r="E36" s="42">
        <v>24</v>
      </c>
      <c r="F36" s="42">
        <v>24</v>
      </c>
      <c r="G36" s="42">
        <v>24</v>
      </c>
      <c r="H36" s="42">
        <v>24</v>
      </c>
      <c r="I36" s="42">
        <v>24</v>
      </c>
      <c r="J36" s="42">
        <v>24</v>
      </c>
      <c r="K36" s="42">
        <v>24</v>
      </c>
      <c r="L36" s="43">
        <v>24</v>
      </c>
      <c r="M36" s="44">
        <v>24</v>
      </c>
      <c r="N36" s="44">
        <v>24</v>
      </c>
      <c r="O36" s="45">
        <v>24</v>
      </c>
      <c r="P36" s="45">
        <v>24</v>
      </c>
      <c r="Q36" s="45">
        <v>24</v>
      </c>
      <c r="R36" s="46">
        <v>17.053999999999998</v>
      </c>
      <c r="S36" s="47">
        <f t="shared" si="46"/>
        <v>0.71058333333333323</v>
      </c>
      <c r="T36" s="46">
        <v>22.645</v>
      </c>
      <c r="U36" s="47">
        <f t="shared" si="47"/>
        <v>0.94354166666666661</v>
      </c>
      <c r="V36" s="46">
        <v>24</v>
      </c>
      <c r="W36" s="47">
        <f t="shared" si="48"/>
        <v>1</v>
      </c>
      <c r="X36" s="46">
        <v>24</v>
      </c>
      <c r="Y36" s="47">
        <f t="shared" si="49"/>
        <v>1</v>
      </c>
      <c r="Z36" s="46">
        <v>24</v>
      </c>
      <c r="AA36" s="47">
        <f t="shared" si="50"/>
        <v>1</v>
      </c>
      <c r="AB36" s="46">
        <v>23.195</v>
      </c>
      <c r="AC36" s="47">
        <f t="shared" si="51"/>
        <v>0.96645833333333331</v>
      </c>
      <c r="AD36" s="46">
        <v>22.882000000000001</v>
      </c>
      <c r="AE36" s="47">
        <f t="shared" si="52"/>
        <v>0.95341666666666669</v>
      </c>
      <c r="AF36" s="46">
        <v>22.423999999999999</v>
      </c>
      <c r="AG36" s="47">
        <f t="shared" si="53"/>
        <v>0.93433333333333335</v>
      </c>
      <c r="AH36" s="46">
        <v>20.742999999999999</v>
      </c>
      <c r="AI36" s="47">
        <f t="shared" si="54"/>
        <v>0.86429166666666657</v>
      </c>
      <c r="AJ36" s="46">
        <v>18.783000000000001</v>
      </c>
      <c r="AK36" s="47">
        <f t="shared" si="55"/>
        <v>0.78262500000000002</v>
      </c>
      <c r="AL36" s="46">
        <v>17.004999999999999</v>
      </c>
      <c r="AM36" s="47">
        <f t="shared" si="56"/>
        <v>0.70854166666666663</v>
      </c>
      <c r="AN36" s="46">
        <v>13.343</v>
      </c>
      <c r="AO36" s="47">
        <f t="shared" si="57"/>
        <v>0.55595833333333333</v>
      </c>
      <c r="AP36" s="46">
        <v>11.734999999999999</v>
      </c>
      <c r="AQ36" s="47">
        <f t="shared" si="58"/>
        <v>0.48895833333333333</v>
      </c>
      <c r="AR36" s="46">
        <v>9.109</v>
      </c>
      <c r="AS36" s="47">
        <f t="shared" si="59"/>
        <v>0.37954166666666667</v>
      </c>
      <c r="AT36" s="46">
        <v>8.32</v>
      </c>
      <c r="AU36" s="47">
        <f t="shared" si="60"/>
        <v>0.34666666666666668</v>
      </c>
      <c r="AV36" s="46">
        <v>7.81</v>
      </c>
      <c r="AW36" s="47">
        <f t="shared" si="61"/>
        <v>0.32541666666666663</v>
      </c>
      <c r="AX36" s="46">
        <v>7.0519999999999996</v>
      </c>
      <c r="AY36" s="47">
        <f t="shared" si="62"/>
        <v>0.29383333333333334</v>
      </c>
      <c r="AZ36" s="46">
        <v>6.202</v>
      </c>
      <c r="BA36" s="47">
        <f t="shared" si="63"/>
        <v>0.25841666666666668</v>
      </c>
      <c r="BB36" s="46">
        <v>5.8579999999999997</v>
      </c>
      <c r="BC36" s="47">
        <f t="shared" si="64"/>
        <v>0.24408333333333332</v>
      </c>
      <c r="BD36" s="46">
        <v>5.4850000000000003</v>
      </c>
      <c r="BE36" s="47">
        <f t="shared" si="65"/>
        <v>0.22854166666666667</v>
      </c>
      <c r="BF36" s="46">
        <v>5.03</v>
      </c>
      <c r="BG36" s="47">
        <f t="shared" si="66"/>
        <v>0.20958333333333334</v>
      </c>
      <c r="BH36" s="46">
        <v>5.4420000000000002</v>
      </c>
      <c r="BI36" s="47">
        <f t="shared" si="67"/>
        <v>0.22675000000000001</v>
      </c>
      <c r="BJ36" s="36" t="s">
        <v>42</v>
      </c>
    </row>
    <row r="37" spans="1:63">
      <c r="A37" s="38" t="s">
        <v>98</v>
      </c>
      <c r="B37" s="38" t="s">
        <v>107</v>
      </c>
      <c r="C37" s="39">
        <v>32</v>
      </c>
      <c r="D37" s="98" t="s">
        <v>108</v>
      </c>
      <c r="E37" s="42">
        <v>2</v>
      </c>
      <c r="F37" s="42">
        <v>2</v>
      </c>
      <c r="G37" s="42">
        <v>2</v>
      </c>
      <c r="H37" s="42">
        <v>2</v>
      </c>
      <c r="I37" s="42">
        <v>2</v>
      </c>
      <c r="J37" s="42">
        <v>2</v>
      </c>
      <c r="K37" s="42">
        <v>2.5</v>
      </c>
      <c r="L37" s="43">
        <v>2.5</v>
      </c>
      <c r="M37" s="44">
        <v>2.5</v>
      </c>
      <c r="N37" s="44">
        <v>2.5</v>
      </c>
      <c r="O37" s="45">
        <v>2.5</v>
      </c>
      <c r="P37" s="45">
        <v>2.5</v>
      </c>
      <c r="Q37" s="45">
        <v>2.5</v>
      </c>
      <c r="R37" s="46">
        <v>2.5</v>
      </c>
      <c r="S37" s="47">
        <f t="shared" si="46"/>
        <v>1</v>
      </c>
      <c r="T37" s="46">
        <v>2.4889999999999999</v>
      </c>
      <c r="U37" s="47">
        <f t="shared" si="47"/>
        <v>0.99559999999999993</v>
      </c>
      <c r="V37" s="46">
        <v>2.41</v>
      </c>
      <c r="W37" s="47">
        <f t="shared" si="48"/>
        <v>0.96400000000000008</v>
      </c>
      <c r="X37" s="46">
        <v>2.423</v>
      </c>
      <c r="Y37" s="47">
        <f t="shared" si="49"/>
        <v>0.96920000000000006</v>
      </c>
      <c r="Z37" s="46">
        <v>2.5</v>
      </c>
      <c r="AA37" s="47">
        <f t="shared" si="50"/>
        <v>1</v>
      </c>
      <c r="AB37" s="46">
        <v>2.5</v>
      </c>
      <c r="AC37" s="47">
        <f t="shared" si="51"/>
        <v>1</v>
      </c>
      <c r="AD37" s="46">
        <v>2.4569999999999999</v>
      </c>
      <c r="AE37" s="47">
        <f t="shared" si="52"/>
        <v>0.9827999999999999</v>
      </c>
      <c r="AF37" s="46">
        <v>2.431</v>
      </c>
      <c r="AG37" s="47">
        <f t="shared" si="53"/>
        <v>0.97240000000000004</v>
      </c>
      <c r="AH37" s="46">
        <v>2.0489999999999999</v>
      </c>
      <c r="AI37" s="47">
        <f t="shared" si="54"/>
        <v>0.8196</v>
      </c>
      <c r="AJ37" s="46">
        <v>1.8580000000000001</v>
      </c>
      <c r="AK37" s="47">
        <f t="shared" si="55"/>
        <v>0.74320000000000008</v>
      </c>
      <c r="AL37" s="46">
        <v>1.331</v>
      </c>
      <c r="AM37" s="47">
        <f t="shared" si="56"/>
        <v>0.53239999999999998</v>
      </c>
      <c r="AN37" s="46">
        <v>0.753</v>
      </c>
      <c r="AO37" s="47">
        <f t="shared" si="57"/>
        <v>0.30120000000000002</v>
      </c>
      <c r="AP37" s="46">
        <v>0.55300000000000005</v>
      </c>
      <c r="AQ37" s="47">
        <f t="shared" si="58"/>
        <v>0.22120000000000001</v>
      </c>
      <c r="AR37" s="46">
        <v>0.42399999999999999</v>
      </c>
      <c r="AS37" s="47">
        <f t="shared" si="59"/>
        <v>0.1696</v>
      </c>
      <c r="AT37" s="46">
        <v>0.4</v>
      </c>
      <c r="AU37" s="47">
        <f t="shared" si="60"/>
        <v>0.16</v>
      </c>
      <c r="AV37" s="46">
        <v>0.38300000000000001</v>
      </c>
      <c r="AW37" s="47">
        <f t="shared" si="61"/>
        <v>0.1532</v>
      </c>
      <c r="AX37" s="46">
        <v>0.36399999999999999</v>
      </c>
      <c r="AY37" s="47">
        <f t="shared" si="62"/>
        <v>0.14560000000000001</v>
      </c>
      <c r="AZ37" s="46">
        <v>0.27300000000000002</v>
      </c>
      <c r="BA37" s="47">
        <f t="shared" si="63"/>
        <v>0.10920000000000001</v>
      </c>
      <c r="BB37" s="46">
        <v>0.23200000000000001</v>
      </c>
      <c r="BC37" s="47">
        <f t="shared" si="64"/>
        <v>9.2800000000000007E-2</v>
      </c>
      <c r="BD37" s="46">
        <v>0.247</v>
      </c>
      <c r="BE37" s="47">
        <f t="shared" si="65"/>
        <v>9.8799999999999999E-2</v>
      </c>
      <c r="BF37" s="46">
        <v>0.17</v>
      </c>
      <c r="BG37" s="47">
        <f t="shared" si="66"/>
        <v>6.8000000000000005E-2</v>
      </c>
      <c r="BH37" s="46">
        <v>0.36</v>
      </c>
      <c r="BI37" s="47">
        <f t="shared" si="67"/>
        <v>0.14399999999999999</v>
      </c>
      <c r="BJ37" s="36" t="s">
        <v>42</v>
      </c>
    </row>
    <row r="38" spans="1:63">
      <c r="A38" s="38" t="s">
        <v>98</v>
      </c>
      <c r="B38" s="38" t="s">
        <v>109</v>
      </c>
      <c r="C38" s="39">
        <v>25</v>
      </c>
      <c r="D38" s="98" t="s">
        <v>104</v>
      </c>
      <c r="E38" s="42">
        <v>3.72</v>
      </c>
      <c r="F38" s="42">
        <v>3.72</v>
      </c>
      <c r="G38" s="42">
        <v>3.72</v>
      </c>
      <c r="H38" s="42">
        <v>3.72</v>
      </c>
      <c r="I38" s="42">
        <v>3.72</v>
      </c>
      <c r="J38" s="42">
        <v>3.72</v>
      </c>
      <c r="K38" s="42">
        <v>3.72</v>
      </c>
      <c r="L38" s="43">
        <v>3.72</v>
      </c>
      <c r="M38" s="44">
        <v>3.72</v>
      </c>
      <c r="N38" s="44">
        <v>3.72</v>
      </c>
      <c r="O38" s="45">
        <v>3.72</v>
      </c>
      <c r="P38" s="45">
        <v>3.72</v>
      </c>
      <c r="Q38" s="45">
        <v>3.72</v>
      </c>
      <c r="R38" s="46">
        <v>3.72</v>
      </c>
      <c r="S38" s="47">
        <f t="shared" si="46"/>
        <v>1</v>
      </c>
      <c r="T38" s="46">
        <v>3.72</v>
      </c>
      <c r="U38" s="47">
        <f t="shared" si="47"/>
        <v>1</v>
      </c>
      <c r="V38" s="46">
        <v>3.72</v>
      </c>
      <c r="W38" s="47">
        <f t="shared" si="48"/>
        <v>1</v>
      </c>
      <c r="X38" s="46">
        <v>3.72</v>
      </c>
      <c r="Y38" s="47">
        <f t="shared" si="49"/>
        <v>1</v>
      </c>
      <c r="Z38" s="46">
        <v>3.72</v>
      </c>
      <c r="AA38" s="47">
        <f t="shared" si="50"/>
        <v>1</v>
      </c>
      <c r="AB38" s="46">
        <v>3.5990000000000002</v>
      </c>
      <c r="AC38" s="47">
        <f t="shared" si="51"/>
        <v>0.96747311827956994</v>
      </c>
      <c r="AD38" s="46">
        <v>3.5270000000000001</v>
      </c>
      <c r="AE38" s="47">
        <f t="shared" si="52"/>
        <v>0.94811827956989247</v>
      </c>
      <c r="AF38" s="46">
        <v>3.4390000000000001</v>
      </c>
      <c r="AG38" s="47">
        <f t="shared" si="53"/>
        <v>0.92446236559139783</v>
      </c>
      <c r="AH38" s="46">
        <v>3.2909999999999999</v>
      </c>
      <c r="AI38" s="47">
        <f t="shared" si="54"/>
        <v>0.88467741935483868</v>
      </c>
      <c r="AJ38" s="46">
        <v>3.1459999999999999</v>
      </c>
      <c r="AK38" s="47">
        <f t="shared" si="55"/>
        <v>0.84569892473118269</v>
      </c>
      <c r="AL38" s="46">
        <v>2.9140000000000001</v>
      </c>
      <c r="AM38" s="47">
        <f t="shared" si="56"/>
        <v>0.78333333333333333</v>
      </c>
      <c r="AN38" s="46">
        <v>2.323</v>
      </c>
      <c r="AO38" s="47">
        <f t="shared" si="57"/>
        <v>0.62446236559139778</v>
      </c>
      <c r="AP38" s="46">
        <v>2.012</v>
      </c>
      <c r="AQ38" s="47">
        <f t="shared" si="58"/>
        <v>0.54086021505376336</v>
      </c>
      <c r="AR38" s="46">
        <v>1.5249999999999999</v>
      </c>
      <c r="AS38" s="47">
        <f t="shared" si="59"/>
        <v>0.40994623655913975</v>
      </c>
      <c r="AT38" s="46">
        <v>1.43</v>
      </c>
      <c r="AU38" s="47">
        <f t="shared" si="60"/>
        <v>0.38440860215053757</v>
      </c>
      <c r="AV38" s="46">
        <v>1.347</v>
      </c>
      <c r="AW38" s="47">
        <f t="shared" si="61"/>
        <v>0.36209677419354835</v>
      </c>
      <c r="AX38" s="46">
        <v>1.101</v>
      </c>
      <c r="AY38" s="47">
        <f t="shared" si="62"/>
        <v>0.29596774193548386</v>
      </c>
      <c r="AZ38" s="46">
        <v>0.95399999999999996</v>
      </c>
      <c r="BA38" s="47">
        <f t="shared" si="63"/>
        <v>0.25645161290322577</v>
      </c>
      <c r="BB38" s="46">
        <v>0.86499999999999999</v>
      </c>
      <c r="BC38" s="47">
        <f t="shared" si="64"/>
        <v>0.2325268817204301</v>
      </c>
      <c r="BD38" s="46">
        <v>0.80100000000000005</v>
      </c>
      <c r="BE38" s="47">
        <f t="shared" si="65"/>
        <v>0.2153225806451613</v>
      </c>
      <c r="BF38" s="46">
        <v>0.69</v>
      </c>
      <c r="BG38" s="47">
        <f t="shared" si="66"/>
        <v>0.18548387096774191</v>
      </c>
      <c r="BH38" s="46">
        <v>0.76500000000000001</v>
      </c>
      <c r="BI38" s="47">
        <f t="shared" si="67"/>
        <v>0.20564516129032256</v>
      </c>
      <c r="BJ38" s="36" t="s">
        <v>42</v>
      </c>
    </row>
    <row r="39" spans="1:63">
      <c r="A39" s="38" t="s">
        <v>98</v>
      </c>
      <c r="B39" s="38" t="s">
        <v>110</v>
      </c>
      <c r="C39" s="39">
        <v>29</v>
      </c>
      <c r="D39" s="98" t="s">
        <v>111</v>
      </c>
      <c r="E39" s="42">
        <v>14</v>
      </c>
      <c r="F39" s="42">
        <v>14</v>
      </c>
      <c r="G39" s="42">
        <v>14</v>
      </c>
      <c r="H39" s="42">
        <v>14</v>
      </c>
      <c r="I39" s="42">
        <v>14</v>
      </c>
      <c r="J39" s="42">
        <v>14</v>
      </c>
      <c r="K39" s="42">
        <v>14</v>
      </c>
      <c r="L39" s="43">
        <v>14</v>
      </c>
      <c r="M39" s="44">
        <v>14</v>
      </c>
      <c r="N39" s="44">
        <v>14</v>
      </c>
      <c r="O39" s="45">
        <v>14</v>
      </c>
      <c r="P39" s="45">
        <v>14</v>
      </c>
      <c r="Q39" s="45">
        <v>14</v>
      </c>
      <c r="R39" s="46">
        <v>7.03</v>
      </c>
      <c r="S39" s="47">
        <f t="shared" si="46"/>
        <v>0.50214285714285711</v>
      </c>
      <c r="T39" s="46">
        <v>8.7780000000000005</v>
      </c>
      <c r="U39" s="47">
        <f t="shared" si="47"/>
        <v>0.627</v>
      </c>
      <c r="V39" s="46">
        <v>9.1989999999999998</v>
      </c>
      <c r="W39" s="47">
        <f t="shared" si="48"/>
        <v>0.65707142857142853</v>
      </c>
      <c r="X39" s="46">
        <v>11.074999999999999</v>
      </c>
      <c r="Y39" s="47">
        <f t="shared" si="49"/>
        <v>0.79107142857142854</v>
      </c>
      <c r="Z39" s="46">
        <v>13.811999999999999</v>
      </c>
      <c r="AA39" s="47">
        <f t="shared" si="50"/>
        <v>0.98657142857142854</v>
      </c>
      <c r="AB39" s="46">
        <v>13.798</v>
      </c>
      <c r="AC39" s="47">
        <f t="shared" si="51"/>
        <v>0.98557142857142854</v>
      </c>
      <c r="AD39" s="46">
        <v>13.81</v>
      </c>
      <c r="AE39" s="47">
        <f t="shared" si="52"/>
        <v>0.98642857142857143</v>
      </c>
      <c r="AF39" s="46">
        <v>13.7</v>
      </c>
      <c r="AG39" s="47">
        <f t="shared" si="53"/>
        <v>0.97857142857142854</v>
      </c>
      <c r="AH39" s="46">
        <v>12</v>
      </c>
      <c r="AI39" s="47">
        <f t="shared" si="54"/>
        <v>0.8571428571428571</v>
      </c>
      <c r="AJ39" s="46">
        <v>11.387</v>
      </c>
      <c r="AK39" s="47">
        <f t="shared" si="55"/>
        <v>0.81335714285714289</v>
      </c>
      <c r="AL39" s="46">
        <v>9.125</v>
      </c>
      <c r="AM39" s="47">
        <f t="shared" si="56"/>
        <v>0.6517857142857143</v>
      </c>
      <c r="AN39" s="46">
        <v>5.7510000000000003</v>
      </c>
      <c r="AO39" s="47">
        <f t="shared" si="57"/>
        <v>0.41078571428571431</v>
      </c>
      <c r="AP39" s="46">
        <v>4.5039999999999996</v>
      </c>
      <c r="AQ39" s="47">
        <f t="shared" si="58"/>
        <v>0.32171428571428567</v>
      </c>
      <c r="AR39" s="46">
        <v>3.24</v>
      </c>
      <c r="AS39" s="47">
        <f t="shared" si="59"/>
        <v>0.23142857142857146</v>
      </c>
      <c r="AT39" s="46">
        <v>2.94</v>
      </c>
      <c r="AU39" s="47">
        <f t="shared" si="60"/>
        <v>0.21</v>
      </c>
      <c r="AV39" s="46">
        <v>2.927</v>
      </c>
      <c r="AW39" s="47">
        <f t="shared" si="61"/>
        <v>0.20907142857142857</v>
      </c>
      <c r="AX39" s="46">
        <v>2.7519999999999998</v>
      </c>
      <c r="AY39" s="47">
        <f t="shared" si="62"/>
        <v>0.19657142857142856</v>
      </c>
      <c r="AZ39" s="46">
        <v>2.254</v>
      </c>
      <c r="BA39" s="47">
        <f t="shared" si="63"/>
        <v>0.161</v>
      </c>
      <c r="BB39" s="46">
        <v>2.4430000000000001</v>
      </c>
      <c r="BC39" s="47">
        <f t="shared" si="64"/>
        <v>0.17450000000000002</v>
      </c>
      <c r="BD39" s="46">
        <v>2.3479999999999999</v>
      </c>
      <c r="BE39" s="47">
        <f t="shared" si="65"/>
        <v>0.1677142857142857</v>
      </c>
      <c r="BF39" s="46">
        <v>2.2799999999999998</v>
      </c>
      <c r="BG39" s="47">
        <f t="shared" si="66"/>
        <v>0.16285714285714284</v>
      </c>
      <c r="BH39" s="46">
        <v>3.16</v>
      </c>
      <c r="BI39" s="47">
        <f t="shared" si="67"/>
        <v>0.22571428571428573</v>
      </c>
      <c r="BJ39" s="36" t="s">
        <v>42</v>
      </c>
    </row>
    <row r="40" spans="1:63">
      <c r="A40" s="38" t="s">
        <v>98</v>
      </c>
      <c r="B40" s="38" t="s">
        <v>112</v>
      </c>
      <c r="C40" s="39">
        <v>15</v>
      </c>
      <c r="D40" s="98" t="s">
        <v>113</v>
      </c>
      <c r="E40" s="42">
        <v>2.9249999999999998</v>
      </c>
      <c r="F40" s="42">
        <v>2.9249999999999998</v>
      </c>
      <c r="G40" s="42">
        <v>2.9249999999999998</v>
      </c>
      <c r="H40" s="42">
        <v>2.9249999999999998</v>
      </c>
      <c r="I40" s="42">
        <v>2.9249999999999998</v>
      </c>
      <c r="J40" s="42">
        <v>2.9249999999999998</v>
      </c>
      <c r="K40" s="42">
        <v>2.9249999999999998</v>
      </c>
      <c r="L40" s="43">
        <v>2.9249999999999998</v>
      </c>
      <c r="M40" s="44">
        <v>2.9249999999999998</v>
      </c>
      <c r="N40" s="44">
        <v>2.9249999999999998</v>
      </c>
      <c r="O40" s="45">
        <v>2.9249999999999998</v>
      </c>
      <c r="P40" s="45">
        <v>2.9249999999999998</v>
      </c>
      <c r="Q40" s="45">
        <v>2.9249999999999998</v>
      </c>
      <c r="R40" s="46">
        <v>1.8640000000000001</v>
      </c>
      <c r="S40" s="47">
        <f t="shared" si="46"/>
        <v>0.63726495726495735</v>
      </c>
      <c r="T40" s="46">
        <v>2.319</v>
      </c>
      <c r="U40" s="47">
        <f t="shared" si="47"/>
        <v>0.7928205128205128</v>
      </c>
      <c r="V40" s="46">
        <v>2.3690000000000002</v>
      </c>
      <c r="W40" s="47">
        <f t="shared" si="48"/>
        <v>0.80991452991453006</v>
      </c>
      <c r="X40" s="46">
        <v>2.4380000000000002</v>
      </c>
      <c r="Y40" s="47">
        <f t="shared" si="49"/>
        <v>0.83350427350427359</v>
      </c>
      <c r="Z40" s="46">
        <v>2.7</v>
      </c>
      <c r="AA40" s="47">
        <f t="shared" si="50"/>
        <v>0.92307692307692324</v>
      </c>
      <c r="AB40" s="46">
        <v>2.738</v>
      </c>
      <c r="AC40" s="47">
        <f t="shared" si="51"/>
        <v>0.93606837606837612</v>
      </c>
      <c r="AD40" s="46">
        <v>2.702</v>
      </c>
      <c r="AE40" s="47">
        <f t="shared" si="52"/>
        <v>0.92376068376068377</v>
      </c>
      <c r="AF40" s="46">
        <v>2.63</v>
      </c>
      <c r="AG40" s="47">
        <f t="shared" si="53"/>
        <v>0.89914529914529917</v>
      </c>
      <c r="AH40" s="46">
        <v>2.4889999999999999</v>
      </c>
      <c r="AI40" s="47">
        <f t="shared" si="54"/>
        <v>0.85094017094017094</v>
      </c>
      <c r="AJ40" s="46">
        <v>2.3570000000000002</v>
      </c>
      <c r="AK40" s="47">
        <f t="shared" si="55"/>
        <v>0.8058119658119659</v>
      </c>
      <c r="AL40" s="46">
        <v>2.242</v>
      </c>
      <c r="AM40" s="47">
        <f t="shared" si="56"/>
        <v>0.7664957264957265</v>
      </c>
      <c r="AN40" s="46">
        <v>2.081</v>
      </c>
      <c r="AO40" s="47">
        <f t="shared" si="57"/>
        <v>0.71145299145299146</v>
      </c>
      <c r="AP40" s="46">
        <v>1.9910000000000001</v>
      </c>
      <c r="AQ40" s="47">
        <f t="shared" si="58"/>
        <v>0.6806837606837608</v>
      </c>
      <c r="AR40" s="46">
        <v>1.8260000000000001</v>
      </c>
      <c r="AS40" s="47">
        <f t="shared" si="59"/>
        <v>0.62427350427350436</v>
      </c>
      <c r="AT40" s="46">
        <v>1.77</v>
      </c>
      <c r="AU40" s="47">
        <f t="shared" si="60"/>
        <v>0.6051282051282052</v>
      </c>
      <c r="AV40" s="46">
        <v>1.718</v>
      </c>
      <c r="AW40" s="47">
        <f t="shared" si="61"/>
        <v>0.58735042735042742</v>
      </c>
      <c r="AX40" s="46">
        <v>1.613</v>
      </c>
      <c r="AY40" s="47">
        <f t="shared" si="62"/>
        <v>0.55145299145299154</v>
      </c>
      <c r="AZ40" s="46">
        <v>1.516</v>
      </c>
      <c r="BA40" s="47">
        <f t="shared" si="63"/>
        <v>0.51829059829059831</v>
      </c>
      <c r="BB40" s="46">
        <v>1.484</v>
      </c>
      <c r="BC40" s="47">
        <f t="shared" si="64"/>
        <v>0.50735042735042735</v>
      </c>
      <c r="BD40" s="46">
        <v>1.4370000000000001</v>
      </c>
      <c r="BE40" s="47">
        <f t="shared" si="65"/>
        <v>0.49128205128205132</v>
      </c>
      <c r="BF40" s="46">
        <v>1.38</v>
      </c>
      <c r="BG40" s="47">
        <f t="shared" si="66"/>
        <v>0.47179487179487178</v>
      </c>
      <c r="BH40" s="46">
        <v>1.3260000000000001</v>
      </c>
      <c r="BI40" s="47">
        <f t="shared" si="67"/>
        <v>0.45333333333333337</v>
      </c>
      <c r="BJ40" s="36" t="s">
        <v>42</v>
      </c>
    </row>
    <row r="41" spans="1:63">
      <c r="A41" s="38" t="s">
        <v>98</v>
      </c>
      <c r="B41" s="38" t="s">
        <v>114</v>
      </c>
      <c r="C41" s="39">
        <v>46</v>
      </c>
      <c r="D41" s="98" t="s">
        <v>115</v>
      </c>
      <c r="E41" s="42">
        <v>1.75</v>
      </c>
      <c r="F41" s="42">
        <v>1.75</v>
      </c>
      <c r="G41" s="42">
        <v>1.75</v>
      </c>
      <c r="H41" s="42">
        <v>1.75</v>
      </c>
      <c r="I41" s="42">
        <v>1.75</v>
      </c>
      <c r="J41" s="42">
        <v>1.75</v>
      </c>
      <c r="K41" s="42">
        <v>1.75</v>
      </c>
      <c r="L41" s="43">
        <v>1.75</v>
      </c>
      <c r="M41" s="44">
        <v>1.75</v>
      </c>
      <c r="N41" s="44">
        <v>1.67</v>
      </c>
      <c r="O41" s="45">
        <v>1.67</v>
      </c>
      <c r="P41" s="45">
        <v>1.67</v>
      </c>
      <c r="Q41" s="45">
        <v>1.67</v>
      </c>
      <c r="R41" s="46">
        <v>1.2749999999999999</v>
      </c>
      <c r="S41" s="47">
        <f t="shared" si="46"/>
        <v>0.76347305389221554</v>
      </c>
      <c r="T41" s="46">
        <v>1.67</v>
      </c>
      <c r="U41" s="47">
        <f t="shared" si="47"/>
        <v>1</v>
      </c>
      <c r="V41" s="46">
        <v>1.67</v>
      </c>
      <c r="W41" s="47">
        <f t="shared" si="48"/>
        <v>1</v>
      </c>
      <c r="X41" s="46">
        <v>1.67</v>
      </c>
      <c r="Y41" s="47">
        <f t="shared" si="49"/>
        <v>1</v>
      </c>
      <c r="Z41" s="46">
        <v>1.67</v>
      </c>
      <c r="AA41" s="47">
        <f t="shared" si="50"/>
        <v>1</v>
      </c>
      <c r="AB41" s="46">
        <v>1.52</v>
      </c>
      <c r="AC41" s="47">
        <f t="shared" si="51"/>
        <v>0.91017964071856294</v>
      </c>
      <c r="AD41" s="46">
        <v>1.4470000000000001</v>
      </c>
      <c r="AE41" s="47">
        <f t="shared" si="52"/>
        <v>0.8664670658682635</v>
      </c>
      <c r="AF41" s="46">
        <v>1.399</v>
      </c>
      <c r="AG41" s="47">
        <f t="shared" si="53"/>
        <v>0.83772455089820363</v>
      </c>
      <c r="AH41" s="46">
        <v>1.202</v>
      </c>
      <c r="AI41" s="47">
        <f t="shared" si="54"/>
        <v>0.7197604790419162</v>
      </c>
      <c r="AJ41" s="46">
        <v>0.97099999999999997</v>
      </c>
      <c r="AK41" s="47">
        <f t="shared" si="55"/>
        <v>0.58143712574850304</v>
      </c>
      <c r="AL41" s="46">
        <v>0.79</v>
      </c>
      <c r="AM41" s="47">
        <f t="shared" si="56"/>
        <v>0.47305389221556893</v>
      </c>
      <c r="AN41" s="46">
        <v>0.43099999999999999</v>
      </c>
      <c r="AO41" s="47">
        <f t="shared" si="57"/>
        <v>0.25808383233532933</v>
      </c>
      <c r="AP41" s="46">
        <v>0.26</v>
      </c>
      <c r="AQ41" s="47">
        <f t="shared" si="58"/>
        <v>0.15568862275449102</v>
      </c>
      <c r="AR41" s="46">
        <v>0.18099999999999999</v>
      </c>
      <c r="AS41" s="47">
        <f t="shared" si="59"/>
        <v>0.10838323353293414</v>
      </c>
      <c r="AT41" s="46">
        <v>0.17</v>
      </c>
      <c r="AU41" s="47">
        <f t="shared" si="60"/>
        <v>0.10179640718562875</v>
      </c>
      <c r="AV41" s="46">
        <v>0.157</v>
      </c>
      <c r="AW41" s="47">
        <f t="shared" si="61"/>
        <v>9.4011976047904192E-2</v>
      </c>
      <c r="AX41" s="46">
        <v>0.13300000000000001</v>
      </c>
      <c r="AY41" s="47">
        <f t="shared" si="62"/>
        <v>7.964071856287426E-2</v>
      </c>
      <c r="AZ41" s="46">
        <v>0.11899999999999999</v>
      </c>
      <c r="BA41" s="47">
        <f t="shared" si="63"/>
        <v>7.1257485029940115E-2</v>
      </c>
      <c r="BB41" s="46">
        <v>0.107</v>
      </c>
      <c r="BC41" s="47">
        <f t="shared" si="64"/>
        <v>6.407185628742515E-2</v>
      </c>
      <c r="BD41" s="46">
        <v>9.8000000000000004E-2</v>
      </c>
      <c r="BE41" s="47">
        <f t="shared" si="65"/>
        <v>5.8682634730538925E-2</v>
      </c>
      <c r="BF41" s="46">
        <v>0.11</v>
      </c>
      <c r="BG41" s="47">
        <f t="shared" si="66"/>
        <v>6.5868263473053898E-2</v>
      </c>
      <c r="BH41" s="46">
        <v>0.17599999999999999</v>
      </c>
      <c r="BI41" s="47">
        <f t="shared" si="67"/>
        <v>0.10538922155688622</v>
      </c>
      <c r="BJ41" s="36" t="s">
        <v>42</v>
      </c>
    </row>
    <row r="42" spans="1:63" ht="11.25" customHeight="1">
      <c r="A42" s="38" t="s">
        <v>98</v>
      </c>
      <c r="B42" s="38" t="s">
        <v>116</v>
      </c>
      <c r="C42" s="39" t="s">
        <v>117</v>
      </c>
      <c r="D42" s="98" t="s">
        <v>118</v>
      </c>
      <c r="E42" s="42"/>
      <c r="F42" s="42"/>
      <c r="G42" s="42"/>
      <c r="H42" s="42"/>
      <c r="I42" s="42"/>
      <c r="J42" s="42"/>
      <c r="K42" s="42"/>
      <c r="L42" s="43"/>
      <c r="M42" s="44"/>
      <c r="N42" s="44"/>
      <c r="O42" s="45"/>
      <c r="P42" s="45"/>
      <c r="Q42" s="45">
        <v>4.95</v>
      </c>
      <c r="R42" s="46">
        <v>1.974</v>
      </c>
      <c r="S42" s="47">
        <f t="shared" si="46"/>
        <v>0.39878787878787875</v>
      </c>
      <c r="T42" s="46">
        <v>2.9590000000000001</v>
      </c>
      <c r="U42" s="47">
        <f t="shared" si="47"/>
        <v>0.59777777777777774</v>
      </c>
      <c r="V42" s="46">
        <v>3.6320000000000001</v>
      </c>
      <c r="W42" s="47">
        <f t="shared" si="48"/>
        <v>0.73373737373737369</v>
      </c>
      <c r="X42" s="46">
        <v>4.476</v>
      </c>
      <c r="Y42" s="47">
        <f t="shared" si="49"/>
        <v>0.90424242424242418</v>
      </c>
      <c r="Z42" s="46">
        <v>4.95</v>
      </c>
      <c r="AA42" s="47">
        <f t="shared" si="50"/>
        <v>1</v>
      </c>
      <c r="AB42" s="46">
        <v>4.9269999999999996</v>
      </c>
      <c r="AC42" s="47">
        <f t="shared" si="51"/>
        <v>0.99535353535353521</v>
      </c>
      <c r="AD42" s="46">
        <v>4.9459999999999997</v>
      </c>
      <c r="AE42" s="47">
        <f t="shared" si="52"/>
        <v>0.99919191919191908</v>
      </c>
      <c r="AF42" s="46">
        <v>4.9210000000000003</v>
      </c>
      <c r="AG42" s="47">
        <f t="shared" si="53"/>
        <v>0.9941414141414141</v>
      </c>
      <c r="AH42" s="46">
        <v>4.8390000000000004</v>
      </c>
      <c r="AI42" s="47">
        <f t="shared" si="54"/>
        <v>0.97757575757575765</v>
      </c>
      <c r="AJ42" s="46">
        <v>4.82</v>
      </c>
      <c r="AK42" s="47">
        <f t="shared" si="55"/>
        <v>0.97373737373737379</v>
      </c>
      <c r="AL42" s="46">
        <v>4.6239999999999997</v>
      </c>
      <c r="AM42" s="47">
        <f t="shared" si="56"/>
        <v>0.93414141414141405</v>
      </c>
      <c r="AN42" s="46">
        <v>4.2320000000000002</v>
      </c>
      <c r="AO42" s="47">
        <f t="shared" si="57"/>
        <v>0.85494949494949501</v>
      </c>
      <c r="AP42" s="46">
        <v>3.806</v>
      </c>
      <c r="AQ42" s="47">
        <f t="shared" si="58"/>
        <v>0.76888888888888884</v>
      </c>
      <c r="AR42" s="46">
        <v>3.3719999999999999</v>
      </c>
      <c r="AS42" s="47">
        <f t="shared" si="59"/>
        <v>0.68121212121212116</v>
      </c>
      <c r="AT42" s="46">
        <v>3.24</v>
      </c>
      <c r="AU42" s="47">
        <f t="shared" si="60"/>
        <v>0.65454545454545454</v>
      </c>
      <c r="AV42" s="46">
        <v>3.1560000000000001</v>
      </c>
      <c r="AW42" s="47">
        <f t="shared" si="61"/>
        <v>0.63757575757575757</v>
      </c>
      <c r="AX42" s="46">
        <v>2.536</v>
      </c>
      <c r="AY42" s="47">
        <f t="shared" si="62"/>
        <v>0.51232323232323229</v>
      </c>
      <c r="AZ42" s="46">
        <v>2.1070000000000002</v>
      </c>
      <c r="BA42" s="47">
        <f t="shared" si="63"/>
        <v>0.42565656565656568</v>
      </c>
      <c r="BB42" s="46">
        <v>1.7809999999999999</v>
      </c>
      <c r="BC42" s="47">
        <f t="shared" si="64"/>
        <v>0.35979797979797978</v>
      </c>
      <c r="BD42" s="46">
        <v>1.468</v>
      </c>
      <c r="BE42" s="47">
        <f t="shared" si="65"/>
        <v>0.29656565656565653</v>
      </c>
      <c r="BF42" s="46">
        <v>1.25</v>
      </c>
      <c r="BG42" s="47">
        <f t="shared" si="66"/>
        <v>0.25252525252525254</v>
      </c>
      <c r="BH42" s="46">
        <v>1.113</v>
      </c>
      <c r="BI42" s="47">
        <f t="shared" si="67"/>
        <v>0.22484848484848483</v>
      </c>
      <c r="BJ42" s="36" t="s">
        <v>42</v>
      </c>
    </row>
    <row r="43" spans="1:63" s="73" customFormat="1" ht="13.5" customHeight="1">
      <c r="A43" s="453" t="s">
        <v>119</v>
      </c>
      <c r="B43" s="453"/>
      <c r="C43" s="122"/>
      <c r="D43" s="123"/>
      <c r="E43" s="65">
        <f t="shared" ref="E43:O43" si="68">SUM(E33:E41)</f>
        <v>64.094999999999999</v>
      </c>
      <c r="F43" s="65">
        <f t="shared" si="68"/>
        <v>64.094999999999999</v>
      </c>
      <c r="G43" s="65">
        <f t="shared" si="68"/>
        <v>64.094999999999999</v>
      </c>
      <c r="H43" s="65">
        <f t="shared" si="68"/>
        <v>64.094999999999999</v>
      </c>
      <c r="I43" s="65">
        <f t="shared" si="68"/>
        <v>64.094999999999999</v>
      </c>
      <c r="J43" s="65">
        <f t="shared" si="68"/>
        <v>64.094999999999999</v>
      </c>
      <c r="K43" s="65">
        <f t="shared" si="68"/>
        <v>64.594999999999999</v>
      </c>
      <c r="L43" s="66">
        <f t="shared" si="68"/>
        <v>64.594999999999999</v>
      </c>
      <c r="M43" s="131">
        <f t="shared" si="68"/>
        <v>64.594999999999999</v>
      </c>
      <c r="N43" s="131">
        <f t="shared" si="68"/>
        <v>64.515000000000001</v>
      </c>
      <c r="O43" s="132">
        <f t="shared" si="68"/>
        <v>64.515000000000001</v>
      </c>
      <c r="P43" s="132">
        <v>64.515000000000001</v>
      </c>
      <c r="Q43" s="132">
        <f>SUM(Q33:Q42)</f>
        <v>69.465000000000003</v>
      </c>
      <c r="R43" s="69">
        <v>47.968000000000004</v>
      </c>
      <c r="S43" s="70">
        <f t="shared" si="46"/>
        <v>0.69053480169869719</v>
      </c>
      <c r="T43" s="69">
        <v>59.485999999999997</v>
      </c>
      <c r="U43" s="70">
        <f t="shared" si="47"/>
        <v>0.85634492190311662</v>
      </c>
      <c r="V43" s="69">
        <v>61.993000000000002</v>
      </c>
      <c r="W43" s="70">
        <f t="shared" si="48"/>
        <v>0.8924350392283884</v>
      </c>
      <c r="X43" s="69">
        <v>64.823999999999998</v>
      </c>
      <c r="Y43" s="70">
        <f t="shared" si="49"/>
        <v>0.93318937594472029</v>
      </c>
      <c r="Z43" s="69">
        <v>68.524000000000001</v>
      </c>
      <c r="AA43" s="70">
        <f t="shared" si="50"/>
        <v>0.98645360973151941</v>
      </c>
      <c r="AB43" s="69">
        <v>66.593000000000004</v>
      </c>
      <c r="AC43" s="70">
        <f t="shared" si="51"/>
        <v>0.95865543799035491</v>
      </c>
      <c r="AD43" s="69">
        <v>65.906000000000006</v>
      </c>
      <c r="AE43" s="70">
        <f t="shared" si="52"/>
        <v>0.94876556539264378</v>
      </c>
      <c r="AF43" s="69">
        <v>64.960999999999999</v>
      </c>
      <c r="AG43" s="70">
        <f t="shared" si="53"/>
        <v>0.93516159216871797</v>
      </c>
      <c r="AH43" s="69">
        <v>59.11</v>
      </c>
      <c r="AI43" s="70">
        <f t="shared" si="54"/>
        <v>0.85093212409126895</v>
      </c>
      <c r="AJ43" s="69">
        <v>54.386000000000003</v>
      </c>
      <c r="AK43" s="70">
        <f t="shared" si="55"/>
        <v>0.78292665371050174</v>
      </c>
      <c r="AL43" s="69">
        <v>47.552</v>
      </c>
      <c r="AM43" s="70">
        <f t="shared" si="56"/>
        <v>0.68454617433239762</v>
      </c>
      <c r="AN43" s="69">
        <v>35.630000000000003</v>
      </c>
      <c r="AO43" s="70">
        <f t="shared" si="57"/>
        <v>0.51292017562801417</v>
      </c>
      <c r="AP43" s="69">
        <v>30.259</v>
      </c>
      <c r="AQ43" s="70">
        <f t="shared" si="58"/>
        <v>0.43560066220398758</v>
      </c>
      <c r="AR43" s="69">
        <v>23.541</v>
      </c>
      <c r="AS43" s="70">
        <f t="shared" si="59"/>
        <v>0.33889008853379399</v>
      </c>
      <c r="AT43" s="69">
        <v>21.75</v>
      </c>
      <c r="AU43" s="70">
        <f t="shared" si="60"/>
        <v>0.31310732023321097</v>
      </c>
      <c r="AV43" s="69">
        <v>20.914999999999999</v>
      </c>
      <c r="AW43" s="70">
        <f t="shared" si="61"/>
        <v>0.30108687828402791</v>
      </c>
      <c r="AX43" s="69">
        <v>18.47</v>
      </c>
      <c r="AY43" s="70">
        <f t="shared" si="62"/>
        <v>0.26588929676815659</v>
      </c>
      <c r="AZ43" s="69">
        <v>16.048999999999999</v>
      </c>
      <c r="BA43" s="70">
        <f t="shared" si="63"/>
        <v>0.23103721298495644</v>
      </c>
      <c r="BB43" s="69">
        <v>15.227</v>
      </c>
      <c r="BC43" s="70">
        <f t="shared" si="64"/>
        <v>0.21920391564097028</v>
      </c>
      <c r="BD43" s="69">
        <v>14.1</v>
      </c>
      <c r="BE43" s="70">
        <f t="shared" si="65"/>
        <v>0.20297991794428846</v>
      </c>
      <c r="BF43" s="69">
        <f>SUM(BF33:BF42)</f>
        <v>12.849999999999998</v>
      </c>
      <c r="BG43" s="70">
        <f t="shared" si="66"/>
        <v>0.18498524436766714</v>
      </c>
      <c r="BH43" s="69">
        <f>SUM(BH33:BH42)</f>
        <v>17.507999999999999</v>
      </c>
      <c r="BI43" s="70">
        <f t="shared" si="67"/>
        <v>0.25204059598358886</v>
      </c>
      <c r="BJ43" s="71"/>
      <c r="BK43" s="72"/>
    </row>
    <row r="44" spans="1:63" ht="6" customHeight="1">
      <c r="A44" s="102"/>
      <c r="B44" s="102"/>
      <c r="C44" s="103"/>
      <c r="D44" s="104"/>
      <c r="E44" s="96"/>
      <c r="F44" s="96"/>
      <c r="G44" s="96"/>
      <c r="H44" s="96"/>
      <c r="I44" s="96"/>
      <c r="J44" s="96"/>
      <c r="K44" s="96"/>
      <c r="L44" s="105"/>
      <c r="M44" s="128"/>
      <c r="N44" s="128"/>
      <c r="O44" s="129"/>
      <c r="P44" s="129"/>
      <c r="Q44" s="129"/>
      <c r="R44" s="80"/>
      <c r="S44" s="81"/>
      <c r="T44" s="80"/>
      <c r="U44" s="81"/>
      <c r="V44" s="80"/>
      <c r="W44" s="81"/>
      <c r="X44" s="80"/>
      <c r="Y44" s="81"/>
      <c r="Z44" s="80"/>
      <c r="AA44" s="81"/>
      <c r="AB44" s="80"/>
      <c r="AC44" s="81"/>
      <c r="AD44" s="80"/>
      <c r="AE44" s="81"/>
      <c r="AF44" s="80"/>
      <c r="AG44" s="81"/>
      <c r="AH44" s="80"/>
      <c r="AI44" s="81"/>
      <c r="AJ44" s="80"/>
      <c r="AK44" s="81"/>
      <c r="AL44" s="80"/>
      <c r="AM44" s="81"/>
      <c r="AN44" s="80"/>
      <c r="AO44" s="81"/>
      <c r="AP44" s="80"/>
      <c r="AQ44" s="81"/>
      <c r="AR44" s="80"/>
      <c r="AS44" s="81"/>
      <c r="AT44" s="80"/>
      <c r="AU44" s="81"/>
      <c r="AV44" s="80"/>
      <c r="AW44" s="81"/>
      <c r="AX44" s="80"/>
      <c r="AY44" s="81"/>
      <c r="AZ44" s="80"/>
      <c r="BA44" s="81"/>
      <c r="BB44" s="80"/>
      <c r="BC44" s="81"/>
      <c r="BD44" s="80"/>
      <c r="BE44" s="81"/>
      <c r="BF44" s="80"/>
      <c r="BG44" s="81"/>
      <c r="BH44" s="80"/>
      <c r="BI44" s="81"/>
      <c r="BJ44" s="82"/>
    </row>
    <row r="45" spans="1:63" s="73" customFormat="1">
      <c r="A45" s="97" t="s">
        <v>120</v>
      </c>
      <c r="B45" s="38" t="s">
        <v>121</v>
      </c>
      <c r="C45" s="39">
        <v>3</v>
      </c>
      <c r="D45" s="98" t="s">
        <v>122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3">
        <v>8.1999999999999993</v>
      </c>
      <c r="N45" s="133">
        <v>8.1999999999999993</v>
      </c>
      <c r="O45" s="134">
        <v>8.1999999999999993</v>
      </c>
      <c r="P45" s="134">
        <v>8.1999999999999993</v>
      </c>
      <c r="Q45" s="134">
        <v>8.1999999999999993</v>
      </c>
      <c r="R45" s="135">
        <v>7.69</v>
      </c>
      <c r="S45" s="92">
        <f>R45/$Q45</f>
        <v>0.93780487804878065</v>
      </c>
      <c r="T45" s="135">
        <v>8.1999999999999993</v>
      </c>
      <c r="U45" s="92">
        <f>T45/$Q45</f>
        <v>1</v>
      </c>
      <c r="V45" s="135">
        <v>8.1999999999999993</v>
      </c>
      <c r="W45" s="92">
        <f>V45/$Q45</f>
        <v>1</v>
      </c>
      <c r="X45" s="135">
        <v>8.1999999999999993</v>
      </c>
      <c r="Y45" s="92">
        <f>X45/$Q45</f>
        <v>1</v>
      </c>
      <c r="Z45" s="135">
        <v>8.1999999999999993</v>
      </c>
      <c r="AA45" s="92">
        <f>Z45/$Q45</f>
        <v>1</v>
      </c>
      <c r="AB45" s="135">
        <v>7.98</v>
      </c>
      <c r="AC45" s="92">
        <f>AB45/$Q45</f>
        <v>0.97317073170731716</v>
      </c>
      <c r="AD45" s="135">
        <v>7.86</v>
      </c>
      <c r="AE45" s="92">
        <f>AD45/$Q45</f>
        <v>0.95853658536585373</v>
      </c>
      <c r="AF45" s="135">
        <v>7.54</v>
      </c>
      <c r="AG45" s="92">
        <f>AF45/$Q45</f>
        <v>0.91951219512195126</v>
      </c>
      <c r="AH45" s="135">
        <v>7.35</v>
      </c>
      <c r="AI45" s="92">
        <f>AH45/$Q45</f>
        <v>0.89634146341463417</v>
      </c>
      <c r="AJ45" s="135">
        <v>7.23</v>
      </c>
      <c r="AK45" s="92">
        <f>AJ45/$Q45</f>
        <v>0.88170731707317085</v>
      </c>
      <c r="AL45" s="135">
        <v>6.84</v>
      </c>
      <c r="AM45" s="92">
        <f>AL45/$Q45</f>
        <v>0.83414634146341471</v>
      </c>
      <c r="AN45" s="135">
        <v>6.61</v>
      </c>
      <c r="AO45" s="92">
        <f>AN45/$Q45</f>
        <v>0.80609756097560992</v>
      </c>
      <c r="AP45" s="135">
        <v>5.76</v>
      </c>
      <c r="AQ45" s="92">
        <f>AP45/$Q45</f>
        <v>0.70243902439024397</v>
      </c>
      <c r="AR45" s="135">
        <v>5.83</v>
      </c>
      <c r="AS45" s="92">
        <f>AR45/$Q45</f>
        <v>0.71097560975609764</v>
      </c>
      <c r="AT45" s="135">
        <v>5.66</v>
      </c>
      <c r="AU45" s="92">
        <f>AT45/$Q45</f>
        <v>0.69024390243902445</v>
      </c>
      <c r="AV45" s="135">
        <v>5.56</v>
      </c>
      <c r="AW45" s="92">
        <f>AV45/$Q45</f>
        <v>0.67804878048780493</v>
      </c>
      <c r="AX45" s="135">
        <v>5.49</v>
      </c>
      <c r="AY45" s="92">
        <f>AX45/$Q45</f>
        <v>0.66951219512195126</v>
      </c>
      <c r="AZ45" s="135">
        <v>5.49</v>
      </c>
      <c r="BA45" s="92">
        <f>AZ45/$Q45</f>
        <v>0.66951219512195126</v>
      </c>
      <c r="BB45" s="135">
        <v>5.49</v>
      </c>
      <c r="BC45" s="92">
        <f>BB45/$Q45</f>
        <v>0.66951219512195126</v>
      </c>
      <c r="BD45" s="135">
        <v>5.33</v>
      </c>
      <c r="BE45" s="92">
        <f>BD45/$Q45</f>
        <v>0.65</v>
      </c>
      <c r="BF45" s="135">
        <v>5.4</v>
      </c>
      <c r="BG45" s="92">
        <f>BF45/$Q45</f>
        <v>0.6585365853658538</v>
      </c>
      <c r="BH45" s="135">
        <v>5.53</v>
      </c>
      <c r="BI45" s="92">
        <f>BH45/$Q45</f>
        <v>0.67439024390243907</v>
      </c>
      <c r="BJ45" s="138" t="s">
        <v>123</v>
      </c>
      <c r="BK45" s="12"/>
    </row>
    <row r="46" spans="1:63" ht="5.25" customHeight="1">
      <c r="A46" s="102"/>
      <c r="B46" s="102"/>
      <c r="C46" s="103"/>
      <c r="D46" s="104"/>
      <c r="E46" s="96"/>
      <c r="F46" s="96"/>
      <c r="G46" s="96"/>
      <c r="H46" s="96"/>
      <c r="I46" s="96"/>
      <c r="J46" s="96"/>
      <c r="K46" s="96"/>
      <c r="L46" s="105"/>
      <c r="M46" s="128"/>
      <c r="N46" s="128"/>
      <c r="O46" s="129"/>
      <c r="P46" s="129"/>
      <c r="Q46" s="129"/>
      <c r="R46" s="80"/>
      <c r="S46" s="81"/>
      <c r="T46" s="80"/>
      <c r="U46" s="81"/>
      <c r="V46" s="80"/>
      <c r="W46" s="81"/>
      <c r="X46" s="80"/>
      <c r="Y46" s="81"/>
      <c r="Z46" s="80"/>
      <c r="AA46" s="81"/>
      <c r="AB46" s="80"/>
      <c r="AC46" s="81"/>
      <c r="AD46" s="80"/>
      <c r="AE46" s="81"/>
      <c r="AF46" s="80"/>
      <c r="AG46" s="81"/>
      <c r="AH46" s="80"/>
      <c r="AI46" s="81"/>
      <c r="AJ46" s="80"/>
      <c r="AK46" s="81"/>
      <c r="AL46" s="80"/>
      <c r="AM46" s="81"/>
      <c r="AN46" s="80"/>
      <c r="AO46" s="81"/>
      <c r="AP46" s="80"/>
      <c r="AQ46" s="81"/>
      <c r="AR46" s="80"/>
      <c r="AS46" s="81"/>
      <c r="AT46" s="80"/>
      <c r="AU46" s="81"/>
      <c r="AV46" s="80"/>
      <c r="AW46" s="81"/>
      <c r="AX46" s="80"/>
      <c r="AY46" s="81"/>
      <c r="AZ46" s="80"/>
      <c r="BA46" s="81"/>
      <c r="BB46" s="80"/>
      <c r="BC46" s="81"/>
      <c r="BD46" s="80"/>
      <c r="BE46" s="81"/>
      <c r="BF46" s="80"/>
      <c r="BG46" s="81"/>
      <c r="BH46" s="80"/>
      <c r="BI46" s="81"/>
      <c r="BJ46" s="82"/>
    </row>
    <row r="47" spans="1:63">
      <c r="A47" s="38" t="s">
        <v>124</v>
      </c>
      <c r="B47" s="38" t="s">
        <v>125</v>
      </c>
      <c r="C47" s="39">
        <v>10</v>
      </c>
      <c r="D47" s="98" t="s">
        <v>126</v>
      </c>
      <c r="E47" s="42">
        <v>11</v>
      </c>
      <c r="F47" s="42">
        <v>11</v>
      </c>
      <c r="G47" s="42">
        <v>11</v>
      </c>
      <c r="H47" s="42">
        <v>11</v>
      </c>
      <c r="I47" s="42">
        <v>11</v>
      </c>
      <c r="J47" s="42">
        <v>11</v>
      </c>
      <c r="K47" s="42">
        <v>10.9</v>
      </c>
      <c r="L47" s="43">
        <v>10.9</v>
      </c>
      <c r="M47" s="44">
        <v>10.9</v>
      </c>
      <c r="N47" s="44">
        <v>10.9</v>
      </c>
      <c r="O47" s="45">
        <v>10.9</v>
      </c>
      <c r="P47" s="45">
        <v>10.9</v>
      </c>
      <c r="Q47" s="139">
        <v>10.9</v>
      </c>
      <c r="R47" s="46">
        <v>9.3059999999999992</v>
      </c>
      <c r="S47" s="47">
        <f t="shared" ref="S47:S58" si="69">R47/$Q47</f>
        <v>0.85376146788990814</v>
      </c>
      <c r="T47" s="46">
        <v>10.824999999999999</v>
      </c>
      <c r="U47" s="47">
        <f t="shared" ref="U47:U58" si="70">T47/$Q47</f>
        <v>0.99311926605504575</v>
      </c>
      <c r="V47" s="46">
        <v>10.824999999999999</v>
      </c>
      <c r="W47" s="47">
        <f t="shared" ref="W47:W58" si="71">V47/$Q47</f>
        <v>0.99311926605504575</v>
      </c>
      <c r="X47" s="46">
        <v>10.821999999999999</v>
      </c>
      <c r="Y47" s="47">
        <f t="shared" ref="Y47:Y57" si="72">X47/$Q47</f>
        <v>0.99284403669724763</v>
      </c>
      <c r="Z47" s="46">
        <v>10.824999999999999</v>
      </c>
      <c r="AA47" s="47">
        <f t="shared" ref="AA47:AA58" si="73">Z47/$Q47</f>
        <v>0.99311926605504575</v>
      </c>
      <c r="AB47" s="46">
        <v>10.747</v>
      </c>
      <c r="AC47" s="47">
        <f t="shared" ref="AC47:AC57" si="74">AB47/$Q47</f>
        <v>0.98596330275229349</v>
      </c>
      <c r="AD47" s="46">
        <v>10.683999999999999</v>
      </c>
      <c r="AE47" s="47">
        <f t="shared" ref="AE47:AE58" si="75">AD47/$Q47</f>
        <v>0.98018348623853202</v>
      </c>
      <c r="AF47" s="46">
        <v>10.602</v>
      </c>
      <c r="AG47" s="47">
        <f t="shared" ref="AG47:AG58" si="76">AF47/$Q47</f>
        <v>0.97266055045871558</v>
      </c>
      <c r="AH47" s="46">
        <v>10.79</v>
      </c>
      <c r="AI47" s="47">
        <f t="shared" ref="AI47:AI58" si="77">AH47/$Q47</f>
        <v>0.98990825688073381</v>
      </c>
      <c r="AJ47" s="46">
        <v>10.099</v>
      </c>
      <c r="AK47" s="47">
        <f t="shared" ref="AK47:AK58" si="78">AJ47/$Q47</f>
        <v>0.92651376146788988</v>
      </c>
      <c r="AL47" s="46">
        <v>9.0619999999999994</v>
      </c>
      <c r="AM47" s="47">
        <f t="shared" ref="AM47:AM58" si="79">AL47/$Q47</f>
        <v>0.83137614678899074</v>
      </c>
      <c r="AN47" s="46">
        <v>7.617</v>
      </c>
      <c r="AO47" s="47">
        <f t="shared" ref="AO47:AO58" si="80">AN47/$Q47</f>
        <v>0.69880733944954121</v>
      </c>
      <c r="AP47" s="46">
        <v>7.1070000000000002</v>
      </c>
      <c r="AQ47" s="47">
        <f t="shared" ref="AQ47:AQ57" si="81">AP47/$Q47</f>
        <v>0.65201834862385322</v>
      </c>
      <c r="AR47" s="46">
        <v>5.5060000000000002</v>
      </c>
      <c r="AS47" s="47">
        <f t="shared" ref="AS47:AS58" si="82">AR47/$Q47</f>
        <v>0.50513761467889906</v>
      </c>
      <c r="AT47" s="46">
        <v>4.75</v>
      </c>
      <c r="AU47" s="47">
        <f t="shared" ref="AU47:AU58" si="83">AT47/$Q47</f>
        <v>0.43577981651376146</v>
      </c>
      <c r="AV47" s="46">
        <v>4.5220000000000002</v>
      </c>
      <c r="AW47" s="47">
        <f t="shared" ref="AW47:AW58" si="84">AV47/$Q47</f>
        <v>0.41486238532110092</v>
      </c>
      <c r="AX47" s="46">
        <v>4.3490000000000002</v>
      </c>
      <c r="AY47" s="47">
        <f t="shared" ref="AY47:AY58" si="85">AX47/$Q47</f>
        <v>0.39899082568807342</v>
      </c>
      <c r="AZ47" s="46">
        <v>4.2050000000000001</v>
      </c>
      <c r="BA47" s="47">
        <f t="shared" ref="BA47:BA58" si="86">AZ47/$Q47</f>
        <v>0.38577981651376148</v>
      </c>
      <c r="BB47" s="46">
        <v>4.1829999999999998</v>
      </c>
      <c r="BC47" s="47">
        <f t="shared" ref="BC47:BC58" si="87">BB47/$Q47</f>
        <v>0.38376146788990823</v>
      </c>
      <c r="BD47" s="46">
        <v>4.1029999999999998</v>
      </c>
      <c r="BE47" s="47">
        <f t="shared" ref="BE47:BE58" si="88">BD47/$Q47</f>
        <v>0.37642201834862382</v>
      </c>
      <c r="BF47" s="46">
        <v>4.03</v>
      </c>
      <c r="BG47" s="47">
        <f t="shared" ref="BG47:BG58" si="89">BF47/$Q47</f>
        <v>0.36972477064220183</v>
      </c>
      <c r="BH47" s="46">
        <v>3.879</v>
      </c>
      <c r="BI47" s="47">
        <f t="shared" ref="BI47:BI57" si="90">BH47/$Q47</f>
        <v>0.35587155963302752</v>
      </c>
      <c r="BJ47" s="36" t="s">
        <v>127</v>
      </c>
      <c r="BK47" s="140" t="s">
        <v>128</v>
      </c>
    </row>
    <row r="48" spans="1:63">
      <c r="A48" s="38" t="s">
        <v>124</v>
      </c>
      <c r="B48" s="38" t="s">
        <v>129</v>
      </c>
      <c r="C48" s="39">
        <v>8</v>
      </c>
      <c r="D48" s="98" t="s">
        <v>130</v>
      </c>
      <c r="E48" s="42">
        <v>18.8</v>
      </c>
      <c r="F48" s="42">
        <v>18.8</v>
      </c>
      <c r="G48" s="42">
        <v>18.8</v>
      </c>
      <c r="H48" s="42">
        <v>18.8</v>
      </c>
      <c r="I48" s="42">
        <v>18.8</v>
      </c>
      <c r="J48" s="42">
        <v>18.8</v>
      </c>
      <c r="K48" s="42">
        <v>18.8</v>
      </c>
      <c r="L48" s="43">
        <v>18.8</v>
      </c>
      <c r="M48" s="44">
        <v>18.8</v>
      </c>
      <c r="N48" s="44">
        <v>18.8</v>
      </c>
      <c r="O48" s="45">
        <v>18.8</v>
      </c>
      <c r="P48" s="45">
        <v>18.8</v>
      </c>
      <c r="Q48" s="45">
        <v>18.8</v>
      </c>
      <c r="R48" s="46">
        <v>16.545000000000002</v>
      </c>
      <c r="S48" s="47">
        <f t="shared" si="69"/>
        <v>0.88005319148936179</v>
      </c>
      <c r="T48" s="46">
        <v>17.212</v>
      </c>
      <c r="U48" s="47">
        <f t="shared" si="70"/>
        <v>0.91553191489361696</v>
      </c>
      <c r="V48" s="46">
        <v>17.661000000000001</v>
      </c>
      <c r="W48" s="47">
        <f t="shared" si="71"/>
        <v>0.93941489361702135</v>
      </c>
      <c r="X48" s="46">
        <v>17.46</v>
      </c>
      <c r="Y48" s="47">
        <f t="shared" si="72"/>
        <v>0.92872340425531918</v>
      </c>
      <c r="Z48" s="46">
        <v>18.071999999999999</v>
      </c>
      <c r="AA48" s="47">
        <f t="shared" si="73"/>
        <v>0.96127659574468072</v>
      </c>
      <c r="AB48" s="46">
        <v>17.748999999999999</v>
      </c>
      <c r="AC48" s="47">
        <f t="shared" si="74"/>
        <v>0.944095744680851</v>
      </c>
      <c r="AD48" s="46">
        <v>17.315999999999999</v>
      </c>
      <c r="AE48" s="47">
        <f t="shared" si="75"/>
        <v>0.921063829787234</v>
      </c>
      <c r="AF48" s="46">
        <v>16.506</v>
      </c>
      <c r="AG48" s="47">
        <f t="shared" si="76"/>
        <v>0.87797872340425531</v>
      </c>
      <c r="AH48" s="46">
        <v>16.222999999999999</v>
      </c>
      <c r="AI48" s="47">
        <f t="shared" si="77"/>
        <v>0.86292553191489352</v>
      </c>
      <c r="AJ48" s="46">
        <v>15.28</v>
      </c>
      <c r="AK48" s="47">
        <f t="shared" si="78"/>
        <v>0.81276595744680846</v>
      </c>
      <c r="AL48" s="46">
        <v>13.97</v>
      </c>
      <c r="AM48" s="47">
        <f t="shared" si="79"/>
        <v>0.74308510638297876</v>
      </c>
      <c r="AN48" s="46">
        <v>12.401</v>
      </c>
      <c r="AO48" s="47">
        <f t="shared" si="80"/>
        <v>0.65962765957446801</v>
      </c>
      <c r="AP48" s="46">
        <v>11.726000000000001</v>
      </c>
      <c r="AQ48" s="47">
        <f t="shared" si="81"/>
        <v>0.62372340425531914</v>
      </c>
      <c r="AR48" s="46">
        <v>10.968</v>
      </c>
      <c r="AS48" s="47">
        <f t="shared" si="82"/>
        <v>0.58340425531914897</v>
      </c>
      <c r="AT48" s="46">
        <v>10.55</v>
      </c>
      <c r="AU48" s="47">
        <f t="shared" si="83"/>
        <v>0.56117021276595747</v>
      </c>
      <c r="AV48" s="46">
        <v>10.028</v>
      </c>
      <c r="AW48" s="47">
        <f t="shared" si="84"/>
        <v>0.53340425531914892</v>
      </c>
      <c r="AX48" s="46">
        <v>9.6129999999999995</v>
      </c>
      <c r="AY48" s="47">
        <f t="shared" si="85"/>
        <v>0.51132978723404254</v>
      </c>
      <c r="AZ48" s="46">
        <v>9.2330000000000005</v>
      </c>
      <c r="BA48" s="47">
        <f t="shared" si="86"/>
        <v>0.49111702127659573</v>
      </c>
      <c r="BB48" s="46">
        <v>8.9060000000000006</v>
      </c>
      <c r="BC48" s="47">
        <f t="shared" si="87"/>
        <v>0.47372340425531917</v>
      </c>
      <c r="BD48" s="46">
        <v>8.5</v>
      </c>
      <c r="BE48" s="47">
        <f t="shared" si="88"/>
        <v>0.45212765957446804</v>
      </c>
      <c r="BF48" s="46">
        <v>8.1</v>
      </c>
      <c r="BG48" s="47">
        <f t="shared" si="89"/>
        <v>0.43085106382978722</v>
      </c>
      <c r="BH48" s="46">
        <v>7.68</v>
      </c>
      <c r="BI48" s="47">
        <f t="shared" si="90"/>
        <v>0.40851063829787232</v>
      </c>
      <c r="BJ48" s="36" t="s">
        <v>131</v>
      </c>
    </row>
    <row r="49" spans="1:63">
      <c r="A49" s="38" t="s">
        <v>124</v>
      </c>
      <c r="B49" s="38" t="s">
        <v>132</v>
      </c>
      <c r="C49" s="39">
        <v>35</v>
      </c>
      <c r="D49" s="98" t="s">
        <v>133</v>
      </c>
      <c r="E49" s="42">
        <v>7.8</v>
      </c>
      <c r="F49" s="42">
        <v>7.8</v>
      </c>
      <c r="G49" s="42">
        <v>7.8</v>
      </c>
      <c r="H49" s="42">
        <v>7.8</v>
      </c>
      <c r="I49" s="42">
        <v>7.8</v>
      </c>
      <c r="J49" s="42">
        <v>7.8</v>
      </c>
      <c r="K49" s="42">
        <v>7.8</v>
      </c>
      <c r="L49" s="43">
        <v>7.8</v>
      </c>
      <c r="M49" s="44">
        <v>7.8</v>
      </c>
      <c r="N49" s="44">
        <v>7.8</v>
      </c>
      <c r="O49" s="45">
        <v>7.8</v>
      </c>
      <c r="P49" s="45">
        <v>7.8</v>
      </c>
      <c r="Q49" s="45">
        <v>7.8</v>
      </c>
      <c r="R49" s="46">
        <v>7.7119999999999997</v>
      </c>
      <c r="S49" s="47">
        <f t="shared" si="69"/>
        <v>0.98871794871794871</v>
      </c>
      <c r="T49" s="46">
        <v>7.6589999999999998</v>
      </c>
      <c r="U49" s="47">
        <f t="shared" si="70"/>
        <v>0.9819230769230769</v>
      </c>
      <c r="V49" s="46">
        <v>7.7320000000000002</v>
      </c>
      <c r="W49" s="47">
        <f t="shared" si="71"/>
        <v>0.99128205128205138</v>
      </c>
      <c r="X49" s="46">
        <v>7.7320000000000002</v>
      </c>
      <c r="Y49" s="47">
        <f t="shared" si="72"/>
        <v>0.99128205128205138</v>
      </c>
      <c r="Z49" s="46">
        <v>7.7450000000000001</v>
      </c>
      <c r="AA49" s="47">
        <f t="shared" si="73"/>
        <v>0.99294871794871797</v>
      </c>
      <c r="AB49" s="46">
        <v>7.4279999999999999</v>
      </c>
      <c r="AC49" s="47">
        <f t="shared" si="74"/>
        <v>0.9523076923076923</v>
      </c>
      <c r="AD49" s="46">
        <v>7.1440000000000001</v>
      </c>
      <c r="AE49" s="47">
        <f t="shared" si="75"/>
        <v>0.91589743589743589</v>
      </c>
      <c r="AF49" s="46">
        <v>6.8029999999999999</v>
      </c>
      <c r="AG49" s="47">
        <f t="shared" si="76"/>
        <v>0.87217948717948723</v>
      </c>
      <c r="AH49" s="46">
        <v>6.4050000000000002</v>
      </c>
      <c r="AI49" s="47">
        <f t="shared" si="77"/>
        <v>0.82115384615384623</v>
      </c>
      <c r="AJ49" s="46">
        <v>6.2370000000000001</v>
      </c>
      <c r="AK49" s="47">
        <f t="shared" si="78"/>
        <v>0.79961538461538462</v>
      </c>
      <c r="AL49" s="46">
        <v>6.101</v>
      </c>
      <c r="AM49" s="47">
        <f t="shared" si="79"/>
        <v>0.78217948717948715</v>
      </c>
      <c r="AN49" s="46">
        <v>5.8339999999999996</v>
      </c>
      <c r="AO49" s="47">
        <f t="shared" si="80"/>
        <v>0.74794871794871787</v>
      </c>
      <c r="AP49" s="46">
        <v>5.6349999999999998</v>
      </c>
      <c r="AQ49" s="47">
        <f t="shared" si="81"/>
        <v>0.72243589743589742</v>
      </c>
      <c r="AR49" s="46">
        <v>5.1740000000000004</v>
      </c>
      <c r="AS49" s="47">
        <f t="shared" si="82"/>
        <v>0.66333333333333344</v>
      </c>
      <c r="AT49" s="46">
        <v>4.91</v>
      </c>
      <c r="AU49" s="47">
        <f t="shared" si="83"/>
        <v>0.62948717948717947</v>
      </c>
      <c r="AV49" s="46">
        <v>4.6740000000000004</v>
      </c>
      <c r="AW49" s="47">
        <f t="shared" si="84"/>
        <v>0.59923076923076934</v>
      </c>
      <c r="AX49" s="46">
        <v>4.5279999999999996</v>
      </c>
      <c r="AY49" s="47">
        <f t="shared" si="85"/>
        <v>0.58051282051282049</v>
      </c>
      <c r="AZ49" s="46">
        <v>4.4539999999999997</v>
      </c>
      <c r="BA49" s="47">
        <f t="shared" si="86"/>
        <v>0.57102564102564102</v>
      </c>
      <c r="BB49" s="46">
        <v>4.3559999999999999</v>
      </c>
      <c r="BC49" s="47">
        <f t="shared" si="87"/>
        <v>0.55846153846153845</v>
      </c>
      <c r="BD49" s="46">
        <v>4.2300000000000004</v>
      </c>
      <c r="BE49" s="47">
        <f t="shared" si="88"/>
        <v>0.54230769230769238</v>
      </c>
      <c r="BF49" s="46">
        <v>4.0999999999999996</v>
      </c>
      <c r="BG49" s="47">
        <f t="shared" si="89"/>
        <v>0.52564102564102566</v>
      </c>
      <c r="BH49" s="46">
        <v>4.1870000000000003</v>
      </c>
      <c r="BI49" s="47">
        <f t="shared" si="90"/>
        <v>0.53679487179487184</v>
      </c>
      <c r="BJ49" s="36" t="s">
        <v>131</v>
      </c>
    </row>
    <row r="50" spans="1:63">
      <c r="A50" s="38" t="s">
        <v>124</v>
      </c>
      <c r="B50" s="38" t="s">
        <v>134</v>
      </c>
      <c r="C50" s="39">
        <v>6</v>
      </c>
      <c r="D50" s="98" t="s">
        <v>134</v>
      </c>
      <c r="E50" s="42">
        <v>3.4</v>
      </c>
      <c r="F50" s="42">
        <v>3.4</v>
      </c>
      <c r="G50" s="42">
        <v>3.4</v>
      </c>
      <c r="H50" s="42">
        <v>3.4</v>
      </c>
      <c r="I50" s="42">
        <v>3.4</v>
      </c>
      <c r="J50" s="42">
        <v>3.4</v>
      </c>
      <c r="K50" s="42">
        <v>3.4</v>
      </c>
      <c r="L50" s="43">
        <v>3.4</v>
      </c>
      <c r="M50" s="44">
        <v>3.4</v>
      </c>
      <c r="N50" s="44">
        <v>3.4</v>
      </c>
      <c r="O50" s="45">
        <v>3.4</v>
      </c>
      <c r="P50" s="45">
        <v>3.4</v>
      </c>
      <c r="Q50" s="45">
        <v>3.4</v>
      </c>
      <c r="R50" s="46">
        <v>3.3780000000000001</v>
      </c>
      <c r="S50" s="47">
        <f t="shared" si="69"/>
        <v>0.99352941176470599</v>
      </c>
      <c r="T50" s="46">
        <v>3.335</v>
      </c>
      <c r="U50" s="47">
        <f t="shared" si="70"/>
        <v>0.98088235294117654</v>
      </c>
      <c r="V50" s="46">
        <v>3.31</v>
      </c>
      <c r="W50" s="47">
        <f t="shared" si="71"/>
        <v>0.97352941176470598</v>
      </c>
      <c r="X50" s="46">
        <v>3.3410000000000002</v>
      </c>
      <c r="Y50" s="47">
        <f t="shared" si="72"/>
        <v>0.98264705882352954</v>
      </c>
      <c r="Z50" s="46">
        <v>3.347</v>
      </c>
      <c r="AA50" s="47">
        <f t="shared" si="73"/>
        <v>0.98441176470588232</v>
      </c>
      <c r="AB50" s="46">
        <v>3.16</v>
      </c>
      <c r="AC50" s="47">
        <f t="shared" si="74"/>
        <v>0.92941176470588238</v>
      </c>
      <c r="AD50" s="46">
        <v>3.1080000000000001</v>
      </c>
      <c r="AE50" s="47">
        <f t="shared" si="75"/>
        <v>0.91411764705882359</v>
      </c>
      <c r="AF50" s="46">
        <v>2.9710000000000001</v>
      </c>
      <c r="AG50" s="47">
        <f t="shared" si="76"/>
        <v>0.87382352941176478</v>
      </c>
      <c r="AH50" s="46">
        <v>2.7890000000000001</v>
      </c>
      <c r="AI50" s="47">
        <f t="shared" si="77"/>
        <v>0.82029411764705884</v>
      </c>
      <c r="AJ50" s="46">
        <v>2.5950000000000002</v>
      </c>
      <c r="AK50" s="47">
        <f t="shared" si="78"/>
        <v>0.76323529411764712</v>
      </c>
      <c r="AL50" s="46">
        <v>1.7130000000000001</v>
      </c>
      <c r="AM50" s="47">
        <f t="shared" si="79"/>
        <v>0.50382352941176478</v>
      </c>
      <c r="AN50" s="46">
        <v>1.4630000000000001</v>
      </c>
      <c r="AO50" s="47">
        <f t="shared" si="80"/>
        <v>0.43029411764705888</v>
      </c>
      <c r="AP50" s="46">
        <v>1.1000000000000001</v>
      </c>
      <c r="AQ50" s="47">
        <f t="shared" si="81"/>
        <v>0.3235294117647059</v>
      </c>
      <c r="AR50" s="46">
        <v>1</v>
      </c>
      <c r="AS50" s="47">
        <f t="shared" si="82"/>
        <v>0.29411764705882354</v>
      </c>
      <c r="AT50" s="46">
        <v>0.79</v>
      </c>
      <c r="AU50" s="47">
        <f t="shared" si="83"/>
        <v>0.2323529411764706</v>
      </c>
      <c r="AV50" s="46">
        <v>0.746</v>
      </c>
      <c r="AW50" s="47">
        <f t="shared" si="84"/>
        <v>0.21941176470588236</v>
      </c>
      <c r="AX50" s="46">
        <v>0.70799999999999996</v>
      </c>
      <c r="AY50" s="47">
        <f t="shared" si="85"/>
        <v>0.20823529411764705</v>
      </c>
      <c r="AZ50" s="46">
        <v>0.65500000000000003</v>
      </c>
      <c r="BA50" s="47">
        <f t="shared" si="86"/>
        <v>0.19264705882352942</v>
      </c>
      <c r="BB50" s="46">
        <v>0.64600000000000002</v>
      </c>
      <c r="BC50" s="47">
        <f t="shared" si="87"/>
        <v>0.19</v>
      </c>
      <c r="BD50" s="46">
        <v>0.63</v>
      </c>
      <c r="BE50" s="47">
        <f t="shared" si="88"/>
        <v>0.18529411764705883</v>
      </c>
      <c r="BF50" s="46">
        <v>0.61</v>
      </c>
      <c r="BG50" s="47">
        <f t="shared" si="89"/>
        <v>0.17941176470588235</v>
      </c>
      <c r="BH50" s="46">
        <v>0.64600000000000002</v>
      </c>
      <c r="BI50" s="47">
        <f t="shared" si="90"/>
        <v>0.19</v>
      </c>
      <c r="BJ50" s="36" t="s">
        <v>135</v>
      </c>
      <c r="BK50" s="119"/>
    </row>
    <row r="51" spans="1:63">
      <c r="A51" s="38" t="s">
        <v>124</v>
      </c>
      <c r="B51" s="38" t="s">
        <v>136</v>
      </c>
      <c r="C51" s="39">
        <v>7</v>
      </c>
      <c r="D51" s="98" t="s">
        <v>137</v>
      </c>
      <c r="E51" s="42">
        <v>8.5</v>
      </c>
      <c r="F51" s="42">
        <v>8.5</v>
      </c>
      <c r="G51" s="42">
        <v>8.5</v>
      </c>
      <c r="H51" s="42">
        <v>8.5</v>
      </c>
      <c r="I51" s="42">
        <v>8.5</v>
      </c>
      <c r="J51" s="42">
        <v>8.5</v>
      </c>
      <c r="K51" s="42">
        <v>11.35</v>
      </c>
      <c r="L51" s="43">
        <v>11.35</v>
      </c>
      <c r="M51" s="44">
        <v>11.35</v>
      </c>
      <c r="N51" s="44">
        <v>11.35</v>
      </c>
      <c r="O51" s="45">
        <v>11.35</v>
      </c>
      <c r="P51" s="45">
        <v>11.35</v>
      </c>
      <c r="Q51" s="139">
        <v>11.35</v>
      </c>
      <c r="R51" s="46">
        <v>11.455</v>
      </c>
      <c r="S51" s="47">
        <f t="shared" si="69"/>
        <v>1.0092511013215859</v>
      </c>
      <c r="T51" s="46">
        <v>11.108000000000001</v>
      </c>
      <c r="U51" s="47">
        <f t="shared" si="70"/>
        <v>0.97867841409691636</v>
      </c>
      <c r="V51" s="46">
        <v>11.381</v>
      </c>
      <c r="W51" s="47">
        <f t="shared" si="71"/>
        <v>1.0027312775330397</v>
      </c>
      <c r="X51" s="46">
        <v>11.269</v>
      </c>
      <c r="Y51" s="47">
        <f t="shared" si="72"/>
        <v>0.99286343612334804</v>
      </c>
      <c r="Z51" s="46">
        <v>11.391999999999999</v>
      </c>
      <c r="AA51" s="47">
        <f t="shared" si="73"/>
        <v>1.0037004405286343</v>
      </c>
      <c r="AB51" s="46">
        <v>10.523999999999999</v>
      </c>
      <c r="AC51" s="47">
        <f t="shared" si="74"/>
        <v>0.92722466960352423</v>
      </c>
      <c r="AD51" s="46">
        <v>10.493</v>
      </c>
      <c r="AE51" s="47">
        <f t="shared" si="75"/>
        <v>0.92449339207048464</v>
      </c>
      <c r="AF51" s="46">
        <v>10.231999999999999</v>
      </c>
      <c r="AG51" s="47">
        <f t="shared" si="76"/>
        <v>0.90149779735682811</v>
      </c>
      <c r="AH51" s="46">
        <v>11.128</v>
      </c>
      <c r="AI51" s="47">
        <f t="shared" si="77"/>
        <v>0.98044052863436126</v>
      </c>
      <c r="AJ51" s="46">
        <v>9.41</v>
      </c>
      <c r="AK51" s="47">
        <f t="shared" si="78"/>
        <v>0.8290748898678415</v>
      </c>
      <c r="AL51" s="46">
        <v>8.9659999999999993</v>
      </c>
      <c r="AM51" s="47">
        <f t="shared" si="79"/>
        <v>0.78995594713656381</v>
      </c>
      <c r="AN51" s="46">
        <v>7.8440000000000003</v>
      </c>
      <c r="AO51" s="47">
        <f t="shared" si="80"/>
        <v>0.69110132158590309</v>
      </c>
      <c r="AP51" s="46">
        <v>7.6310000000000002</v>
      </c>
      <c r="AQ51" s="47">
        <f t="shared" si="81"/>
        <v>0.67233480176211458</v>
      </c>
      <c r="AR51" s="46">
        <v>7.3739999999999997</v>
      </c>
      <c r="AS51" s="47">
        <f t="shared" si="82"/>
        <v>0.64969162995594709</v>
      </c>
      <c r="AT51" s="46">
        <v>7.09</v>
      </c>
      <c r="AU51" s="47">
        <f t="shared" si="83"/>
        <v>0.62466960352422907</v>
      </c>
      <c r="AV51" s="46">
        <v>6.9640000000000004</v>
      </c>
      <c r="AW51" s="47">
        <f t="shared" si="84"/>
        <v>0.61356828193832602</v>
      </c>
      <c r="AX51" s="46">
        <v>6.8440000000000003</v>
      </c>
      <c r="AY51" s="47">
        <f t="shared" si="85"/>
        <v>0.60299559471365638</v>
      </c>
      <c r="AZ51" s="46">
        <v>6.4850000000000003</v>
      </c>
      <c r="BA51" s="47">
        <f t="shared" si="86"/>
        <v>0.57136563876651991</v>
      </c>
      <c r="BB51" s="46">
        <v>6.3650000000000002</v>
      </c>
      <c r="BC51" s="47">
        <f t="shared" si="87"/>
        <v>0.56079295154185027</v>
      </c>
      <c r="BD51" s="46">
        <v>6.1609999999999996</v>
      </c>
      <c r="BE51" s="47">
        <f t="shared" si="88"/>
        <v>0.54281938325991186</v>
      </c>
      <c r="BF51" s="46">
        <v>6.06</v>
      </c>
      <c r="BG51" s="47">
        <f t="shared" si="89"/>
        <v>0.533920704845815</v>
      </c>
      <c r="BH51" s="46">
        <v>6.5540000000000003</v>
      </c>
      <c r="BI51" s="47">
        <f t="shared" si="90"/>
        <v>0.57744493392070484</v>
      </c>
      <c r="BJ51" s="36" t="s">
        <v>127</v>
      </c>
      <c r="BK51" s="140" t="s">
        <v>138</v>
      </c>
    </row>
    <row r="52" spans="1:63">
      <c r="A52" s="38" t="s">
        <v>124</v>
      </c>
      <c r="B52" s="38" t="s">
        <v>139</v>
      </c>
      <c r="C52" s="39">
        <v>33</v>
      </c>
      <c r="D52" s="98" t="s">
        <v>140</v>
      </c>
      <c r="E52" s="42">
        <v>6.5</v>
      </c>
      <c r="F52" s="42">
        <v>6.5</v>
      </c>
      <c r="G52" s="42">
        <v>6.5</v>
      </c>
      <c r="H52" s="42">
        <v>6.5</v>
      </c>
      <c r="I52" s="42">
        <v>6.5</v>
      </c>
      <c r="J52" s="42">
        <v>6.5</v>
      </c>
      <c r="K52" s="42">
        <v>4.8</v>
      </c>
      <c r="L52" s="43">
        <v>4.8</v>
      </c>
      <c r="M52" s="44">
        <v>4.968</v>
      </c>
      <c r="N52" s="44">
        <v>4.968</v>
      </c>
      <c r="O52" s="45">
        <v>4.968</v>
      </c>
      <c r="P52" s="45">
        <v>4.968</v>
      </c>
      <c r="Q52" s="45">
        <v>4.968</v>
      </c>
      <c r="R52" s="46">
        <v>3.9</v>
      </c>
      <c r="S52" s="47">
        <f t="shared" si="69"/>
        <v>0.78502415458937191</v>
      </c>
      <c r="T52" s="46">
        <v>4.1280000000000001</v>
      </c>
      <c r="U52" s="47">
        <f t="shared" si="70"/>
        <v>0.83091787439613529</v>
      </c>
      <c r="V52" s="46">
        <v>4.33</v>
      </c>
      <c r="W52" s="47">
        <f t="shared" si="71"/>
        <v>0.87157809983896939</v>
      </c>
      <c r="X52" s="46">
        <v>4.4580000000000002</v>
      </c>
      <c r="Y52" s="47">
        <f t="shared" si="72"/>
        <v>0.89734299516908211</v>
      </c>
      <c r="Z52" s="46">
        <v>4.6580000000000004</v>
      </c>
      <c r="AA52" s="47">
        <f t="shared" si="73"/>
        <v>0.93760064412238331</v>
      </c>
      <c r="AB52" s="46">
        <v>4.5090000000000003</v>
      </c>
      <c r="AC52" s="47">
        <f t="shared" si="74"/>
        <v>0.90760869565217395</v>
      </c>
      <c r="AD52" s="46">
        <v>4.3250000000000002</v>
      </c>
      <c r="AE52" s="47">
        <f t="shared" si="75"/>
        <v>0.87057165861513697</v>
      </c>
      <c r="AF52" s="46">
        <v>4.0259999999999998</v>
      </c>
      <c r="AG52" s="47">
        <f t="shared" si="76"/>
        <v>0.81038647342995163</v>
      </c>
      <c r="AH52" s="46">
        <v>3.7639999999999998</v>
      </c>
      <c r="AI52" s="47">
        <f t="shared" si="77"/>
        <v>0.75764895330112714</v>
      </c>
      <c r="AJ52" s="46">
        <v>3.5649999999999999</v>
      </c>
      <c r="AK52" s="47">
        <f t="shared" si="78"/>
        <v>0.71759259259259256</v>
      </c>
      <c r="AL52" s="46">
        <v>3.2709999999999999</v>
      </c>
      <c r="AM52" s="47">
        <f t="shared" si="79"/>
        <v>0.65841384863123997</v>
      </c>
      <c r="AN52" s="46">
        <v>2.887</v>
      </c>
      <c r="AO52" s="47">
        <f t="shared" si="80"/>
        <v>0.5811191626409018</v>
      </c>
      <c r="AP52" s="441"/>
      <c r="AQ52" s="442">
        <f t="shared" si="81"/>
        <v>0</v>
      </c>
      <c r="AR52" s="46">
        <v>2.19</v>
      </c>
      <c r="AS52" s="47">
        <f t="shared" si="82"/>
        <v>0.44082125603864736</v>
      </c>
      <c r="AT52" s="46">
        <v>1.91</v>
      </c>
      <c r="AU52" s="47">
        <f t="shared" si="83"/>
        <v>0.38446054750402575</v>
      </c>
      <c r="AV52" s="46">
        <v>1.7</v>
      </c>
      <c r="AW52" s="47">
        <f t="shared" si="84"/>
        <v>0.34219001610305955</v>
      </c>
      <c r="AX52" s="46">
        <v>1.573</v>
      </c>
      <c r="AY52" s="47">
        <f t="shared" si="85"/>
        <v>0.31662640901771338</v>
      </c>
      <c r="AZ52" s="46">
        <v>1.5</v>
      </c>
      <c r="BA52" s="47">
        <f t="shared" si="86"/>
        <v>0.30193236714975846</v>
      </c>
      <c r="BB52" s="46">
        <v>1.4410000000000001</v>
      </c>
      <c r="BC52" s="47">
        <f t="shared" si="87"/>
        <v>0.29005636070853463</v>
      </c>
      <c r="BD52" s="46">
        <v>1.3660000000000001</v>
      </c>
      <c r="BE52" s="47">
        <f t="shared" si="88"/>
        <v>0.2749597423510467</v>
      </c>
      <c r="BF52" s="46">
        <v>1.244</v>
      </c>
      <c r="BG52" s="47">
        <f t="shared" si="89"/>
        <v>0.25040257648953301</v>
      </c>
      <c r="BH52" s="46">
        <v>1.331</v>
      </c>
      <c r="BI52" s="47">
        <f t="shared" si="90"/>
        <v>0.26791465378421897</v>
      </c>
      <c r="BJ52" s="36" t="s">
        <v>141</v>
      </c>
    </row>
    <row r="53" spans="1:63">
      <c r="A53" s="38" t="s">
        <v>124</v>
      </c>
      <c r="B53" s="38" t="s">
        <v>142</v>
      </c>
      <c r="C53" s="39">
        <v>4</v>
      </c>
      <c r="D53" s="98" t="s">
        <v>143</v>
      </c>
      <c r="E53" s="42">
        <v>15</v>
      </c>
      <c r="F53" s="42">
        <v>15</v>
      </c>
      <c r="G53" s="42">
        <v>15</v>
      </c>
      <c r="H53" s="42">
        <v>15</v>
      </c>
      <c r="I53" s="42">
        <v>15</v>
      </c>
      <c r="J53" s="42">
        <v>15</v>
      </c>
      <c r="K53" s="42">
        <v>15</v>
      </c>
      <c r="L53" s="43">
        <v>15</v>
      </c>
      <c r="M53" s="44">
        <v>15</v>
      </c>
      <c r="N53" s="44">
        <v>15</v>
      </c>
      <c r="O53" s="45">
        <v>15</v>
      </c>
      <c r="P53" s="45">
        <v>15</v>
      </c>
      <c r="Q53" s="45">
        <v>15</v>
      </c>
      <c r="R53" s="46">
        <v>13.3</v>
      </c>
      <c r="S53" s="47">
        <f t="shared" si="69"/>
        <v>0.88666666666666671</v>
      </c>
      <c r="T53" s="46">
        <v>15.097</v>
      </c>
      <c r="U53" s="47">
        <f t="shared" si="70"/>
        <v>1.0064666666666666</v>
      </c>
      <c r="V53" s="46">
        <v>15.127000000000001</v>
      </c>
      <c r="W53" s="47">
        <f t="shared" si="71"/>
        <v>1.0084666666666666</v>
      </c>
      <c r="X53" s="46">
        <v>15.097</v>
      </c>
      <c r="Y53" s="47">
        <f t="shared" si="72"/>
        <v>1.0064666666666666</v>
      </c>
      <c r="Z53" s="46">
        <v>15.106999999999999</v>
      </c>
      <c r="AA53" s="47">
        <f t="shared" si="73"/>
        <v>1.0071333333333332</v>
      </c>
      <c r="AB53" s="46">
        <v>14.9</v>
      </c>
      <c r="AC53" s="47">
        <f t="shared" si="74"/>
        <v>0.9933333333333334</v>
      </c>
      <c r="AD53" s="46">
        <v>14.414</v>
      </c>
      <c r="AE53" s="47">
        <f t="shared" si="75"/>
        <v>0.96093333333333331</v>
      </c>
      <c r="AF53" s="46">
        <v>13.581</v>
      </c>
      <c r="AG53" s="47">
        <f t="shared" si="76"/>
        <v>0.90539999999999998</v>
      </c>
      <c r="AH53" s="46">
        <v>14.772</v>
      </c>
      <c r="AI53" s="47">
        <f t="shared" si="77"/>
        <v>0.98480000000000001</v>
      </c>
      <c r="AJ53" s="46">
        <v>12.06</v>
      </c>
      <c r="AK53" s="47">
        <f t="shared" si="78"/>
        <v>0.80400000000000005</v>
      </c>
      <c r="AL53" s="46">
        <v>14.617000000000001</v>
      </c>
      <c r="AM53" s="47">
        <f t="shared" si="79"/>
        <v>0.9744666666666667</v>
      </c>
      <c r="AN53" s="46">
        <v>8.0399999999999991</v>
      </c>
      <c r="AO53" s="47">
        <f t="shared" si="80"/>
        <v>0.53599999999999992</v>
      </c>
      <c r="AP53" s="46">
        <v>7.7279999999999998</v>
      </c>
      <c r="AQ53" s="47">
        <f t="shared" si="81"/>
        <v>0.51519999999999999</v>
      </c>
      <c r="AR53" s="46">
        <v>4.3570000000000002</v>
      </c>
      <c r="AS53" s="47">
        <f t="shared" si="82"/>
        <v>0.29046666666666671</v>
      </c>
      <c r="AT53" s="46">
        <v>3.79</v>
      </c>
      <c r="AU53" s="47">
        <f t="shared" si="83"/>
        <v>0.25266666666666665</v>
      </c>
      <c r="AV53" s="46">
        <v>3.6349999999999998</v>
      </c>
      <c r="AW53" s="47">
        <f t="shared" si="84"/>
        <v>0.24233333333333332</v>
      </c>
      <c r="AX53" s="46">
        <v>3.2250000000000001</v>
      </c>
      <c r="AY53" s="47">
        <f t="shared" si="85"/>
        <v>0.215</v>
      </c>
      <c r="AZ53" s="46">
        <v>2.9580000000000002</v>
      </c>
      <c r="BA53" s="47">
        <f t="shared" si="86"/>
        <v>0.19720000000000001</v>
      </c>
      <c r="BB53" s="46">
        <v>2.5270000000000001</v>
      </c>
      <c r="BC53" s="47">
        <f t="shared" si="87"/>
        <v>0.16846666666666668</v>
      </c>
      <c r="BD53" s="46">
        <v>2.1040000000000001</v>
      </c>
      <c r="BE53" s="47">
        <f t="shared" si="88"/>
        <v>0.14026666666666668</v>
      </c>
      <c r="BF53" s="46">
        <v>2</v>
      </c>
      <c r="BG53" s="47">
        <f t="shared" si="89"/>
        <v>0.13333333333333333</v>
      </c>
      <c r="BH53" s="46">
        <v>1.3740000000000001</v>
      </c>
      <c r="BI53" s="47">
        <f t="shared" si="90"/>
        <v>9.1600000000000001E-2</v>
      </c>
      <c r="BJ53" s="36" t="s">
        <v>127</v>
      </c>
      <c r="BK53" s="119"/>
    </row>
    <row r="54" spans="1:63">
      <c r="A54" s="38" t="s">
        <v>124</v>
      </c>
      <c r="B54" s="38" t="s">
        <v>144</v>
      </c>
      <c r="C54" s="39">
        <v>5</v>
      </c>
      <c r="D54" s="98" t="s">
        <v>144</v>
      </c>
      <c r="E54" s="42">
        <v>3.2</v>
      </c>
      <c r="F54" s="42">
        <v>3.2</v>
      </c>
      <c r="G54" s="42">
        <v>3.2</v>
      </c>
      <c r="H54" s="42">
        <v>3.2</v>
      </c>
      <c r="I54" s="42">
        <v>3.2</v>
      </c>
      <c r="J54" s="42">
        <v>3.2</v>
      </c>
      <c r="K54" s="42">
        <v>3.2</v>
      </c>
      <c r="L54" s="43">
        <v>3.2</v>
      </c>
      <c r="M54" s="44">
        <v>3.2</v>
      </c>
      <c r="N54" s="44">
        <v>3.2</v>
      </c>
      <c r="O54" s="45">
        <v>3.2</v>
      </c>
      <c r="P54" s="45">
        <v>3.2</v>
      </c>
      <c r="Q54" s="45">
        <v>3.2</v>
      </c>
      <c r="R54" s="46">
        <v>1.9359999999999999</v>
      </c>
      <c r="S54" s="47">
        <f t="shared" si="69"/>
        <v>0.60499999999999998</v>
      </c>
      <c r="T54" s="46">
        <v>2.1709999999999998</v>
      </c>
      <c r="U54" s="47">
        <f t="shared" si="70"/>
        <v>0.67843749999999992</v>
      </c>
      <c r="V54" s="46">
        <v>2.145</v>
      </c>
      <c r="W54" s="47">
        <f t="shared" si="71"/>
        <v>0.67031249999999998</v>
      </c>
      <c r="X54" s="46">
        <v>2.2280000000000002</v>
      </c>
      <c r="Y54" s="47">
        <f t="shared" si="72"/>
        <v>0.69625000000000004</v>
      </c>
      <c r="Z54" s="46">
        <v>2.3029999999999999</v>
      </c>
      <c r="AA54" s="47">
        <f t="shared" si="73"/>
        <v>0.71968749999999992</v>
      </c>
      <c r="AB54" s="46">
        <v>2.14</v>
      </c>
      <c r="AC54" s="47">
        <f t="shared" si="74"/>
        <v>0.66874999999999996</v>
      </c>
      <c r="AD54" s="46">
        <v>2.105</v>
      </c>
      <c r="AE54" s="47">
        <f t="shared" si="75"/>
        <v>0.65781249999999991</v>
      </c>
      <c r="AF54" s="46">
        <v>2.0339999999999998</v>
      </c>
      <c r="AG54" s="47">
        <f t="shared" si="76"/>
        <v>0.63562499999999988</v>
      </c>
      <c r="AH54" s="46">
        <v>1.974</v>
      </c>
      <c r="AI54" s="47">
        <f t="shared" si="77"/>
        <v>0.61687499999999995</v>
      </c>
      <c r="AJ54" s="46">
        <v>1.877</v>
      </c>
      <c r="AK54" s="47">
        <f t="shared" si="78"/>
        <v>0.58656249999999999</v>
      </c>
      <c r="AL54" s="46">
        <v>1.6950000000000001</v>
      </c>
      <c r="AM54" s="47">
        <f t="shared" si="79"/>
        <v>0.52968749999999998</v>
      </c>
      <c r="AN54" s="46">
        <v>1.5820000000000001</v>
      </c>
      <c r="AO54" s="47">
        <f t="shared" si="80"/>
        <v>0.49437500000000001</v>
      </c>
      <c r="AP54" s="46">
        <v>1.39</v>
      </c>
      <c r="AQ54" s="47">
        <f t="shared" si="81"/>
        <v>0.43437499999999996</v>
      </c>
      <c r="AR54" s="46">
        <v>1.3</v>
      </c>
      <c r="AS54" s="47">
        <f t="shared" si="82"/>
        <v>0.40625</v>
      </c>
      <c r="AT54" s="46">
        <v>1.1499999999999999</v>
      </c>
      <c r="AU54" s="47">
        <f t="shared" si="83"/>
        <v>0.35937499999999994</v>
      </c>
      <c r="AV54" s="46">
        <v>1.0980000000000001</v>
      </c>
      <c r="AW54" s="47">
        <f t="shared" si="84"/>
        <v>0.34312500000000001</v>
      </c>
      <c r="AX54" s="46">
        <v>1.0620000000000001</v>
      </c>
      <c r="AY54" s="47">
        <f t="shared" si="85"/>
        <v>0.33187499999999998</v>
      </c>
      <c r="AZ54" s="46">
        <v>1.04</v>
      </c>
      <c r="BA54" s="47">
        <f t="shared" si="86"/>
        <v>0.32500000000000001</v>
      </c>
      <c r="BB54" s="46">
        <v>1.0720000000000001</v>
      </c>
      <c r="BC54" s="47">
        <f t="shared" si="87"/>
        <v>0.33500000000000002</v>
      </c>
      <c r="BD54" s="46">
        <v>1.0900000000000001</v>
      </c>
      <c r="BE54" s="47">
        <f t="shared" si="88"/>
        <v>0.34062500000000001</v>
      </c>
      <c r="BF54" s="46">
        <v>1.06</v>
      </c>
      <c r="BG54" s="47">
        <f t="shared" si="89"/>
        <v>0.33124999999999999</v>
      </c>
      <c r="BH54" s="46">
        <v>1.0580000000000001</v>
      </c>
      <c r="BI54" s="47">
        <f t="shared" si="90"/>
        <v>0.330625</v>
      </c>
      <c r="BJ54" s="36" t="s">
        <v>135</v>
      </c>
      <c r="BK54" s="119"/>
    </row>
    <row r="55" spans="1:63">
      <c r="A55" s="38" t="s">
        <v>124</v>
      </c>
      <c r="B55" s="38" t="s">
        <v>145</v>
      </c>
      <c r="C55" s="39" t="s">
        <v>146</v>
      </c>
      <c r="D55" s="98" t="s">
        <v>147</v>
      </c>
      <c r="E55" s="42"/>
      <c r="F55" s="42"/>
      <c r="G55" s="42"/>
      <c r="H55" s="42"/>
      <c r="I55" s="42"/>
      <c r="J55" s="42"/>
      <c r="K55" s="42"/>
      <c r="L55" s="43"/>
      <c r="M55" s="44"/>
      <c r="N55" s="44"/>
      <c r="O55" s="45"/>
      <c r="P55" s="45"/>
      <c r="Q55" s="45">
        <v>1.1579999999999999</v>
      </c>
      <c r="R55" s="441"/>
      <c r="S55" s="442">
        <f t="shared" si="69"/>
        <v>0</v>
      </c>
      <c r="T55" s="46">
        <v>1.1579999999999999</v>
      </c>
      <c r="U55" s="47">
        <f t="shared" si="70"/>
        <v>1</v>
      </c>
      <c r="V55" s="46">
        <v>1.1599999999999999</v>
      </c>
      <c r="W55" s="47">
        <f t="shared" si="71"/>
        <v>1.0017271157167531</v>
      </c>
      <c r="X55" s="46">
        <v>1.1579999999999999</v>
      </c>
      <c r="Y55" s="47">
        <f t="shared" si="72"/>
        <v>1</v>
      </c>
      <c r="Z55" s="46">
        <v>1.1579999999999999</v>
      </c>
      <c r="AA55" s="47">
        <f t="shared" si="73"/>
        <v>1</v>
      </c>
      <c r="AB55" s="46">
        <v>1.1579999999999999</v>
      </c>
      <c r="AC55" s="47">
        <f t="shared" si="74"/>
        <v>1</v>
      </c>
      <c r="AD55" s="46">
        <v>1.1000000000000001</v>
      </c>
      <c r="AE55" s="47">
        <f t="shared" si="75"/>
        <v>0.94991364421416247</v>
      </c>
      <c r="AF55" s="46">
        <v>1.1000000000000001</v>
      </c>
      <c r="AG55" s="47">
        <f t="shared" si="76"/>
        <v>0.94991364421416247</v>
      </c>
      <c r="AH55" s="46">
        <v>0.95</v>
      </c>
      <c r="AI55" s="47">
        <f t="shared" si="77"/>
        <v>0.82037996545768566</v>
      </c>
      <c r="AJ55" s="46">
        <v>0.83799999999999997</v>
      </c>
      <c r="AK55" s="47">
        <f t="shared" si="78"/>
        <v>0.72366148531951646</v>
      </c>
      <c r="AL55" s="46">
        <v>0.67</v>
      </c>
      <c r="AM55" s="47">
        <f t="shared" si="79"/>
        <v>0.57858376511226262</v>
      </c>
      <c r="AN55" s="46">
        <v>0.58499999999999996</v>
      </c>
      <c r="AO55" s="47">
        <f t="shared" si="80"/>
        <v>0.50518134715025909</v>
      </c>
      <c r="AP55" s="46">
        <v>0.38</v>
      </c>
      <c r="AQ55" s="47">
        <f t="shared" si="81"/>
        <v>0.32815198618307428</v>
      </c>
      <c r="AR55" s="46">
        <v>0.25</v>
      </c>
      <c r="AS55" s="47">
        <f t="shared" si="82"/>
        <v>0.21588946459412783</v>
      </c>
      <c r="AT55" s="46">
        <v>0.1</v>
      </c>
      <c r="AU55" s="47">
        <f t="shared" si="83"/>
        <v>8.6355785837651133E-2</v>
      </c>
      <c r="AV55" s="46">
        <v>8.7999999999999995E-2</v>
      </c>
      <c r="AW55" s="47">
        <f t="shared" si="84"/>
        <v>7.599309153713299E-2</v>
      </c>
      <c r="AX55" s="46">
        <v>7.0000000000000007E-2</v>
      </c>
      <c r="AY55" s="47">
        <f t="shared" si="85"/>
        <v>6.0449050086355795E-2</v>
      </c>
      <c r="AZ55" s="46">
        <v>5.0999999999999997E-2</v>
      </c>
      <c r="BA55" s="47">
        <f t="shared" si="86"/>
        <v>4.4041450777202069E-2</v>
      </c>
      <c r="BB55" s="46">
        <v>0.05</v>
      </c>
      <c r="BC55" s="47">
        <f t="shared" si="87"/>
        <v>4.3177892918825567E-2</v>
      </c>
      <c r="BD55" s="46">
        <v>4.4999999999999998E-2</v>
      </c>
      <c r="BE55" s="47">
        <f t="shared" si="88"/>
        <v>3.8860103626943004E-2</v>
      </c>
      <c r="BF55" s="46">
        <v>0.04</v>
      </c>
      <c r="BG55" s="47">
        <f t="shared" si="89"/>
        <v>3.4542314335060449E-2</v>
      </c>
      <c r="BH55" s="46">
        <v>7.4999999999999997E-2</v>
      </c>
      <c r="BI55" s="47">
        <f t="shared" si="90"/>
        <v>6.476683937823835E-2</v>
      </c>
      <c r="BJ55" s="36" t="s">
        <v>148</v>
      </c>
      <c r="BK55" s="119"/>
    </row>
    <row r="56" spans="1:63">
      <c r="A56" s="38" t="s">
        <v>124</v>
      </c>
      <c r="B56" s="38" t="s">
        <v>149</v>
      </c>
      <c r="C56" s="39" t="s">
        <v>150</v>
      </c>
      <c r="D56" s="98" t="s">
        <v>149</v>
      </c>
      <c r="E56" s="42"/>
      <c r="F56" s="42"/>
      <c r="G56" s="42"/>
      <c r="H56" s="42"/>
      <c r="I56" s="42"/>
      <c r="J56" s="42"/>
      <c r="K56" s="42"/>
      <c r="L56" s="43"/>
      <c r="M56" s="44"/>
      <c r="N56" s="44"/>
      <c r="O56" s="45"/>
      <c r="P56" s="45"/>
      <c r="Q56" s="45">
        <v>0.78</v>
      </c>
      <c r="R56" s="46">
        <v>0.73799999999999999</v>
      </c>
      <c r="S56" s="47">
        <f t="shared" si="69"/>
        <v>0.94615384615384612</v>
      </c>
      <c r="T56" s="46">
        <v>0.75</v>
      </c>
      <c r="U56" s="47">
        <f t="shared" si="70"/>
        <v>0.96153846153846145</v>
      </c>
      <c r="V56" s="46">
        <v>0.75</v>
      </c>
      <c r="W56" s="47">
        <f t="shared" si="71"/>
        <v>0.96153846153846145</v>
      </c>
      <c r="X56" s="46">
        <v>0.75</v>
      </c>
      <c r="Y56" s="47">
        <f t="shared" si="72"/>
        <v>0.96153846153846145</v>
      </c>
      <c r="Z56" s="46">
        <v>0.75</v>
      </c>
      <c r="AA56" s="47">
        <f t="shared" si="73"/>
        <v>0.96153846153846145</v>
      </c>
      <c r="AB56" s="46">
        <v>0.75</v>
      </c>
      <c r="AC56" s="47">
        <f t="shared" si="74"/>
        <v>0.96153846153846145</v>
      </c>
      <c r="AD56" s="46">
        <v>0.75</v>
      </c>
      <c r="AE56" s="47">
        <f t="shared" si="75"/>
        <v>0.96153846153846145</v>
      </c>
      <c r="AF56" s="46">
        <v>0.73599999999999999</v>
      </c>
      <c r="AG56" s="47">
        <f t="shared" si="76"/>
        <v>0.94358974358974357</v>
      </c>
      <c r="AH56" s="46">
        <v>0.67</v>
      </c>
      <c r="AI56" s="47">
        <f t="shared" si="77"/>
        <v>0.85897435897435903</v>
      </c>
      <c r="AJ56" s="46">
        <v>0.64600000000000002</v>
      </c>
      <c r="AK56" s="47">
        <f t="shared" si="78"/>
        <v>0.82820512820512815</v>
      </c>
      <c r="AL56" s="46">
        <v>0.47499999999999998</v>
      </c>
      <c r="AM56" s="47">
        <f t="shared" si="79"/>
        <v>0.60897435897435892</v>
      </c>
      <c r="AN56" s="46">
        <v>0.4</v>
      </c>
      <c r="AO56" s="47">
        <f t="shared" si="80"/>
        <v>0.51282051282051289</v>
      </c>
      <c r="AP56" s="46">
        <v>0.28999999999999998</v>
      </c>
      <c r="AQ56" s="47">
        <f t="shared" si="81"/>
        <v>0.37179487179487175</v>
      </c>
      <c r="AR56" s="46">
        <v>0.26400000000000001</v>
      </c>
      <c r="AS56" s="47">
        <f t="shared" si="82"/>
        <v>0.33846153846153848</v>
      </c>
      <c r="AT56" s="46">
        <v>0.18</v>
      </c>
      <c r="AU56" s="47">
        <f t="shared" si="83"/>
        <v>0.23076923076923075</v>
      </c>
      <c r="AV56" s="46">
        <v>0.112</v>
      </c>
      <c r="AW56" s="47">
        <f t="shared" si="84"/>
        <v>0.14358974358974358</v>
      </c>
      <c r="AX56" s="46">
        <v>9.4E-2</v>
      </c>
      <c r="AY56" s="47">
        <f t="shared" si="85"/>
        <v>0.12051282051282051</v>
      </c>
      <c r="AZ56" s="46">
        <v>6.0999999999999999E-2</v>
      </c>
      <c r="BA56" s="47">
        <f t="shared" si="86"/>
        <v>7.8205128205128205E-2</v>
      </c>
      <c r="BB56" s="46">
        <v>5.1999999999999998E-2</v>
      </c>
      <c r="BC56" s="47">
        <f t="shared" si="87"/>
        <v>6.6666666666666666E-2</v>
      </c>
      <c r="BD56" s="46">
        <v>3.4000000000000002E-2</v>
      </c>
      <c r="BE56" s="47">
        <f t="shared" si="88"/>
        <v>4.3589743589743594E-2</v>
      </c>
      <c r="BF56" s="46">
        <v>0.02</v>
      </c>
      <c r="BG56" s="47">
        <f t="shared" si="89"/>
        <v>2.564102564102564E-2</v>
      </c>
      <c r="BH56" s="46">
        <v>0.03</v>
      </c>
      <c r="BI56" s="47">
        <f t="shared" si="90"/>
        <v>3.8461538461538457E-2</v>
      </c>
      <c r="BJ56" s="36" t="s">
        <v>135</v>
      </c>
      <c r="BK56" s="119"/>
    </row>
    <row r="57" spans="1:63">
      <c r="A57" s="38" t="s">
        <v>124</v>
      </c>
      <c r="B57" s="38" t="s">
        <v>151</v>
      </c>
      <c r="C57" s="39" t="s">
        <v>152</v>
      </c>
      <c r="D57" s="98" t="s">
        <v>153</v>
      </c>
      <c r="E57" s="42"/>
      <c r="F57" s="42"/>
      <c r="G57" s="42"/>
      <c r="H57" s="42"/>
      <c r="I57" s="42"/>
      <c r="J57" s="42"/>
      <c r="K57" s="42"/>
      <c r="L57" s="43"/>
      <c r="M57" s="44"/>
      <c r="N57" s="44"/>
      <c r="O57" s="45"/>
      <c r="P57" s="45"/>
      <c r="Q57" s="45">
        <v>0.64100000000000001</v>
      </c>
      <c r="R57" s="46">
        <v>0.64100000000000001</v>
      </c>
      <c r="S57" s="47">
        <f t="shared" si="69"/>
        <v>1</v>
      </c>
      <c r="T57" s="46">
        <v>0.64100000000000001</v>
      </c>
      <c r="U57" s="47">
        <f t="shared" si="70"/>
        <v>1</v>
      </c>
      <c r="V57" s="46">
        <v>0.64100000000000001</v>
      </c>
      <c r="W57" s="47">
        <f t="shared" si="71"/>
        <v>1</v>
      </c>
      <c r="X57" s="46">
        <v>0.64100000000000001</v>
      </c>
      <c r="Y57" s="47">
        <f t="shared" si="72"/>
        <v>1</v>
      </c>
      <c r="Z57" s="46">
        <v>0.64100000000000001</v>
      </c>
      <c r="AA57" s="47">
        <f t="shared" si="73"/>
        <v>1</v>
      </c>
      <c r="AB57" s="46">
        <v>0.64100000000000001</v>
      </c>
      <c r="AC57" s="47">
        <f t="shared" si="74"/>
        <v>1</v>
      </c>
      <c r="AD57" s="46">
        <v>0.64100000000000001</v>
      </c>
      <c r="AE57" s="47">
        <f t="shared" si="75"/>
        <v>1</v>
      </c>
      <c r="AF57" s="46">
        <v>0.64100000000000001</v>
      </c>
      <c r="AG57" s="47">
        <f t="shared" si="76"/>
        <v>1</v>
      </c>
      <c r="AH57" s="46">
        <v>0.64100000000000001</v>
      </c>
      <c r="AI57" s="47">
        <f t="shared" si="77"/>
        <v>1</v>
      </c>
      <c r="AJ57" s="46">
        <v>0.62</v>
      </c>
      <c r="AK57" s="47">
        <f t="shared" si="78"/>
        <v>0.96723868954758185</v>
      </c>
      <c r="AL57" s="46">
        <v>0.51600000000000001</v>
      </c>
      <c r="AM57" s="47">
        <f t="shared" si="79"/>
        <v>0.80499219968798752</v>
      </c>
      <c r="AN57" s="46">
        <v>0.46100000000000002</v>
      </c>
      <c r="AO57" s="47">
        <f t="shared" si="80"/>
        <v>0.71918876755070205</v>
      </c>
      <c r="AP57" s="46">
        <v>0.36</v>
      </c>
      <c r="AQ57" s="47">
        <f t="shared" si="81"/>
        <v>0.56162246489859591</v>
      </c>
      <c r="AR57" s="46">
        <v>0.32900000000000001</v>
      </c>
      <c r="AS57" s="47">
        <f t="shared" si="82"/>
        <v>0.51326053042121689</v>
      </c>
      <c r="AT57" s="46">
        <v>0.24</v>
      </c>
      <c r="AU57" s="47">
        <f t="shared" si="83"/>
        <v>0.37441497659906392</v>
      </c>
      <c r="AV57" s="46">
        <v>0.19700000000000001</v>
      </c>
      <c r="AW57" s="47">
        <f t="shared" si="84"/>
        <v>0.30733229329173167</v>
      </c>
      <c r="AX57" s="46">
        <v>0.16600000000000001</v>
      </c>
      <c r="AY57" s="47">
        <f t="shared" si="85"/>
        <v>0.2589703588143526</v>
      </c>
      <c r="AZ57" s="46">
        <v>0.115</v>
      </c>
      <c r="BA57" s="47">
        <f t="shared" si="86"/>
        <v>0.1794071762870515</v>
      </c>
      <c r="BB57" s="46">
        <v>0.115</v>
      </c>
      <c r="BC57" s="47">
        <f t="shared" si="87"/>
        <v>0.1794071762870515</v>
      </c>
      <c r="BD57" s="46">
        <v>0.106</v>
      </c>
      <c r="BE57" s="47">
        <f t="shared" si="88"/>
        <v>0.16536661466458658</v>
      </c>
      <c r="BF57" s="46">
        <v>0.09</v>
      </c>
      <c r="BG57" s="47">
        <f t="shared" si="89"/>
        <v>0.14040561622464898</v>
      </c>
      <c r="BH57" s="46">
        <v>0.04</v>
      </c>
      <c r="BI57" s="47">
        <f t="shared" si="90"/>
        <v>6.2402496099843996E-2</v>
      </c>
      <c r="BJ57" s="36" t="s">
        <v>135</v>
      </c>
      <c r="BK57" s="119"/>
    </row>
    <row r="58" spans="1:63" s="73" customFormat="1" ht="13.5" customHeight="1">
      <c r="A58" s="453" t="s">
        <v>154</v>
      </c>
      <c r="B58" s="453"/>
      <c r="C58" s="122"/>
      <c r="D58" s="141"/>
      <c r="E58" s="65">
        <f t="shared" ref="E58:O58" si="91">SUM(E47:E54)</f>
        <v>74.2</v>
      </c>
      <c r="F58" s="65">
        <f t="shared" si="91"/>
        <v>74.2</v>
      </c>
      <c r="G58" s="65">
        <f t="shared" si="91"/>
        <v>74.2</v>
      </c>
      <c r="H58" s="65">
        <f t="shared" si="91"/>
        <v>74.2</v>
      </c>
      <c r="I58" s="65">
        <f t="shared" si="91"/>
        <v>74.2</v>
      </c>
      <c r="J58" s="65">
        <f t="shared" si="91"/>
        <v>74.2</v>
      </c>
      <c r="K58" s="65">
        <f t="shared" si="91"/>
        <v>75.25</v>
      </c>
      <c r="L58" s="66">
        <f t="shared" si="91"/>
        <v>75.25</v>
      </c>
      <c r="M58" s="67">
        <f t="shared" si="91"/>
        <v>75.418000000000006</v>
      </c>
      <c r="N58" s="67">
        <f t="shared" si="91"/>
        <v>75.418000000000006</v>
      </c>
      <c r="O58" s="68">
        <f t="shared" si="91"/>
        <v>75.418000000000006</v>
      </c>
      <c r="P58" s="68">
        <v>75.418000000000006</v>
      </c>
      <c r="Q58" s="68">
        <f>SUM(Q47:Q57)</f>
        <v>77.997000000000014</v>
      </c>
      <c r="R58" s="69">
        <v>68.911000000000001</v>
      </c>
      <c r="S58" s="47">
        <f t="shared" si="69"/>
        <v>0.8835083400643613</v>
      </c>
      <c r="T58" s="69">
        <v>74.084000000000003</v>
      </c>
      <c r="U58" s="47">
        <f t="shared" si="70"/>
        <v>0.94983140377193986</v>
      </c>
      <c r="V58" s="69">
        <v>75.061999999999998</v>
      </c>
      <c r="W58" s="47">
        <f t="shared" si="71"/>
        <v>0.96237034757747075</v>
      </c>
      <c r="X58" s="69">
        <v>74.956000000000003</v>
      </c>
      <c r="Y58" s="47">
        <f>X58/($Q58)</f>
        <v>0.96101132094824149</v>
      </c>
      <c r="Z58" s="69">
        <v>75.998000000000005</v>
      </c>
      <c r="AA58" s="47">
        <f t="shared" si="73"/>
        <v>0.97437080913368457</v>
      </c>
      <c r="AB58" s="69">
        <v>73.706000000000003</v>
      </c>
      <c r="AC58" s="47">
        <f>AB58/($Q58)</f>
        <v>0.94498506352808431</v>
      </c>
      <c r="AD58" s="69">
        <v>72.08</v>
      </c>
      <c r="AE58" s="47">
        <f t="shared" si="75"/>
        <v>0.92413810787594375</v>
      </c>
      <c r="AF58" s="69">
        <v>69.231999999999999</v>
      </c>
      <c r="AG58" s="47">
        <f t="shared" si="76"/>
        <v>0.88762388296985761</v>
      </c>
      <c r="AH58" s="69">
        <v>70.105999999999995</v>
      </c>
      <c r="AI58" s="47">
        <f t="shared" si="77"/>
        <v>0.89882944215803151</v>
      </c>
      <c r="AJ58" s="69">
        <v>63.226999999999997</v>
      </c>
      <c r="AK58" s="47">
        <f t="shared" si="78"/>
        <v>0.81063374232342256</v>
      </c>
      <c r="AL58" s="69">
        <v>61.055999999999997</v>
      </c>
      <c r="AM58" s="47">
        <f t="shared" si="79"/>
        <v>0.78279933843609351</v>
      </c>
      <c r="AN58" s="69">
        <v>49.113999999999997</v>
      </c>
      <c r="AO58" s="47">
        <f t="shared" si="80"/>
        <v>0.62969088554687991</v>
      </c>
      <c r="AP58" s="69">
        <v>43.347000000000001</v>
      </c>
      <c r="AQ58" s="47">
        <f>AP58/($Q58-Q52)</f>
        <v>0.59355872324692927</v>
      </c>
      <c r="AR58" s="69">
        <v>38.712000000000003</v>
      </c>
      <c r="AS58" s="47">
        <f t="shared" si="82"/>
        <v>0.4963267817992999</v>
      </c>
      <c r="AT58" s="69">
        <v>35.46</v>
      </c>
      <c r="AU58" s="47">
        <f t="shared" si="83"/>
        <v>0.45463287049501899</v>
      </c>
      <c r="AV58" s="69">
        <v>33.764000000000003</v>
      </c>
      <c r="AW58" s="47">
        <f t="shared" si="84"/>
        <v>0.43288844442734975</v>
      </c>
      <c r="AX58" s="69">
        <v>32.231999999999999</v>
      </c>
      <c r="AY58" s="47">
        <f t="shared" si="85"/>
        <v>0.41324666333320503</v>
      </c>
      <c r="AZ58" s="69">
        <v>30.757000000000001</v>
      </c>
      <c r="BA58" s="47">
        <f t="shared" si="86"/>
        <v>0.39433567957741961</v>
      </c>
      <c r="BB58" s="69">
        <v>29.713000000000001</v>
      </c>
      <c r="BC58" s="47">
        <f t="shared" si="87"/>
        <v>0.38095054938010431</v>
      </c>
      <c r="BD58" s="69">
        <f>SUM(BD47:BD57)</f>
        <v>28.368999999999996</v>
      </c>
      <c r="BE58" s="47">
        <f t="shared" si="88"/>
        <v>0.36371911740195123</v>
      </c>
      <c r="BF58" s="69">
        <f>SUM(BF47:BF57)</f>
        <v>27.353999999999992</v>
      </c>
      <c r="BG58" s="47">
        <f t="shared" si="89"/>
        <v>0.35070579637678356</v>
      </c>
      <c r="BH58" s="69">
        <f>SUM(BH47:BH57)</f>
        <v>26.853999999999996</v>
      </c>
      <c r="BI58" s="47">
        <f>BH58/($Q58)</f>
        <v>0.34429529340872073</v>
      </c>
      <c r="BJ58" s="142"/>
      <c r="BK58" s="143">
        <f>BF60-BF58</f>
        <v>67.516999999999996</v>
      </c>
    </row>
    <row r="59" spans="1:63" ht="4.5" customHeight="1">
      <c r="A59" s="144"/>
      <c r="B59" s="144"/>
      <c r="C59" s="145"/>
      <c r="D59" s="144"/>
      <c r="E59" s="104"/>
      <c r="F59" s="104"/>
      <c r="G59" s="104"/>
      <c r="H59" s="104"/>
      <c r="I59" s="104"/>
      <c r="J59" s="104"/>
      <c r="K59" s="104"/>
      <c r="L59" s="104"/>
      <c r="M59" s="146"/>
      <c r="N59" s="146"/>
      <c r="O59" s="147"/>
      <c r="P59" s="147"/>
      <c r="Q59" s="147"/>
      <c r="R59" s="80"/>
      <c r="S59" s="81"/>
      <c r="T59" s="80"/>
      <c r="U59" s="81"/>
      <c r="V59" s="80"/>
      <c r="W59" s="81"/>
      <c r="X59" s="80"/>
      <c r="Y59" s="81"/>
      <c r="Z59" s="80"/>
      <c r="AA59" s="81"/>
      <c r="AB59" s="80"/>
      <c r="AC59" s="81"/>
      <c r="AD59" s="80"/>
      <c r="AE59" s="81"/>
      <c r="AF59" s="80"/>
      <c r="AG59" s="81"/>
      <c r="AH59" s="80"/>
      <c r="AI59" s="81"/>
      <c r="AJ59" s="80"/>
      <c r="AK59" s="81"/>
      <c r="AL59" s="80"/>
      <c r="AM59" s="81"/>
      <c r="AN59" s="80"/>
      <c r="AO59" s="81"/>
      <c r="AP59" s="80"/>
      <c r="AQ59" s="81"/>
      <c r="AR59" s="80"/>
      <c r="AS59" s="81"/>
      <c r="AT59" s="80"/>
      <c r="AU59" s="81"/>
      <c r="AV59" s="80"/>
      <c r="AW59" s="81"/>
      <c r="AX59" s="80"/>
      <c r="AY59" s="81"/>
      <c r="AZ59" s="80"/>
      <c r="BA59" s="81"/>
      <c r="BB59" s="80"/>
      <c r="BC59" s="81"/>
      <c r="BD59" s="80"/>
      <c r="BE59" s="81"/>
      <c r="BF59" s="80"/>
      <c r="BG59" s="81"/>
      <c r="BH59" s="80"/>
      <c r="BI59" s="81"/>
    </row>
    <row r="60" spans="1:63" s="73" customFormat="1" ht="13.5" customHeight="1">
      <c r="A60" s="454" t="s">
        <v>155</v>
      </c>
      <c r="B60" s="454"/>
      <c r="C60" s="148"/>
      <c r="D60" s="149"/>
      <c r="E60" s="150">
        <f t="shared" ref="E60:O60" si="92">E58+E45+E43+E31+E18+E16+E14</f>
        <v>370.32099999999997</v>
      </c>
      <c r="F60" s="151">
        <f t="shared" si="92"/>
        <v>383.86099999999999</v>
      </c>
      <c r="G60" s="151">
        <f t="shared" si="92"/>
        <v>381.1</v>
      </c>
      <c r="H60" s="151">
        <f t="shared" si="92"/>
        <v>381.1</v>
      </c>
      <c r="I60" s="151">
        <f t="shared" si="92"/>
        <v>381.1</v>
      </c>
      <c r="J60" s="151">
        <f t="shared" si="92"/>
        <v>381.1</v>
      </c>
      <c r="K60" s="151">
        <f t="shared" si="92"/>
        <v>379.62000000000006</v>
      </c>
      <c r="L60" s="152">
        <f t="shared" si="92"/>
        <v>379.62000000000006</v>
      </c>
      <c r="M60" s="89">
        <f t="shared" si="92"/>
        <v>380.32800000000009</v>
      </c>
      <c r="N60" s="89">
        <f t="shared" si="92"/>
        <v>380.19049999999999</v>
      </c>
      <c r="O60" s="90">
        <f t="shared" si="92"/>
        <v>380.76049999999998</v>
      </c>
      <c r="P60" s="90">
        <v>380.76049999999998</v>
      </c>
      <c r="Q60" s="90">
        <f>Q58+Q45+Q43+Q31+Q18+Q16+Q14</f>
        <v>389.48949999999996</v>
      </c>
      <c r="R60" s="91">
        <v>288.76100000000002</v>
      </c>
      <c r="S60" s="92">
        <f>R60/($Q60)</f>
        <v>0.74138327220631117</v>
      </c>
      <c r="T60" s="91">
        <v>333.875</v>
      </c>
      <c r="U60" s="92">
        <f>T60/($Q60)</f>
        <v>0.85721181187169371</v>
      </c>
      <c r="V60" s="91">
        <v>344.661</v>
      </c>
      <c r="W60" s="92">
        <f>V60/($Q60)</f>
        <v>0.8849044711089773</v>
      </c>
      <c r="X60" s="91">
        <v>355.726</v>
      </c>
      <c r="Y60" s="92">
        <f>X60/($Q60)</f>
        <v>0.91331345260912045</v>
      </c>
      <c r="Z60" s="91">
        <v>370.58699999999999</v>
      </c>
      <c r="AA60" s="92">
        <f>Z60/($Q60)</f>
        <v>0.95146852482544464</v>
      </c>
      <c r="AB60" s="91">
        <v>369.84800000000001</v>
      </c>
      <c r="AC60" s="92">
        <f>AB60/($Q60)</f>
        <v>0.94957116944102482</v>
      </c>
      <c r="AD60" s="91">
        <v>360.63499999999999</v>
      </c>
      <c r="AE60" s="92">
        <f>AD60/($Q60)</f>
        <v>0.92591712998681619</v>
      </c>
      <c r="AF60" s="91">
        <v>356.29300000000001</v>
      </c>
      <c r="AG60" s="92">
        <f>AF60/($Q60)</f>
        <v>0.91476920430460906</v>
      </c>
      <c r="AH60" s="91">
        <v>342.02499999999998</v>
      </c>
      <c r="AI60" s="92">
        <f>AH60/($Q60)</f>
        <v>0.87813663782977469</v>
      </c>
      <c r="AJ60" s="91">
        <v>316.40100000000001</v>
      </c>
      <c r="AK60" s="92">
        <f>AJ60/($Q60)</f>
        <v>0.81234795803224491</v>
      </c>
      <c r="AL60" s="91">
        <v>282.96800000000002</v>
      </c>
      <c r="AM60" s="92">
        <f>AL60/($Q60)</f>
        <v>0.72650995726457335</v>
      </c>
      <c r="AN60" s="91">
        <v>224.69399999999999</v>
      </c>
      <c r="AO60" s="92">
        <f>AN60/($Q60)</f>
        <v>0.57689360046933236</v>
      </c>
      <c r="AP60" s="91">
        <v>192.642</v>
      </c>
      <c r="AQ60" s="92">
        <f>AP60/($Q60-Q52)</f>
        <v>0.50099149202320292</v>
      </c>
      <c r="AR60" s="91">
        <v>149.18100000000001</v>
      </c>
      <c r="AS60" s="92">
        <f>AR60/($Q60-Q16)</f>
        <v>0.40506449410042922</v>
      </c>
      <c r="AT60" s="91">
        <v>141.30000000000001</v>
      </c>
      <c r="AU60" s="92">
        <f>AT60/($Q60)</f>
        <v>0.36278256538366255</v>
      </c>
      <c r="AV60" s="91">
        <v>131.15600000000001</v>
      </c>
      <c r="AW60" s="92">
        <f>AV60/($Q60)</f>
        <v>0.33673821758994793</v>
      </c>
      <c r="AX60" s="91">
        <v>120.21599999999999</v>
      </c>
      <c r="AY60" s="92">
        <f>AX60/($Q60)</f>
        <v>0.30865016900327225</v>
      </c>
      <c r="AZ60" s="91">
        <v>110.492</v>
      </c>
      <c r="BA60" s="92">
        <f>AZ60/($Q60)</f>
        <v>0.28368415579880846</v>
      </c>
      <c r="BB60" s="91">
        <v>105.396</v>
      </c>
      <c r="BC60" s="92">
        <f>BB60/($Q60)</f>
        <v>0.27060036278256538</v>
      </c>
      <c r="BD60" s="91">
        <f>BD58+BD45+BD43+BD31+BD18+BD16+BD14</f>
        <v>100.834</v>
      </c>
      <c r="BE60" s="92">
        <f>BD60/($Q60)</f>
        <v>0.25888759517265553</v>
      </c>
      <c r="BF60" s="91">
        <f>BF58+BF45+BF43+BF31+BF18+BF16+BF14</f>
        <v>94.870999999999981</v>
      </c>
      <c r="BG60" s="92">
        <f>BF60/($Q60)</f>
        <v>0.24357781146860183</v>
      </c>
      <c r="BH60" s="91">
        <f>BH58+BH45+BH43+BH31+BH18+BH16+BH14</f>
        <v>106.376</v>
      </c>
      <c r="BI60" s="92">
        <f>BH60/($Q60)</f>
        <v>0.27311647682415063</v>
      </c>
      <c r="BJ60" s="153"/>
      <c r="BK60" s="72"/>
    </row>
    <row r="61" spans="1:63" s="154" customFormat="1" ht="27" customHeight="1">
      <c r="C61" s="155"/>
      <c r="V61" s="156">
        <f>V60-R60</f>
        <v>55.899999999999977</v>
      </c>
      <c r="Z61" s="156">
        <f>Z60-V60</f>
        <v>25.925999999999988</v>
      </c>
      <c r="AB61" s="156">
        <f>AB60-$Z$60</f>
        <v>-0.7389999999999759</v>
      </c>
      <c r="AD61" s="156">
        <f>AD60-$Z$60</f>
        <v>-9.9519999999999982</v>
      </c>
      <c r="AE61" s="156"/>
      <c r="AF61" s="156">
        <f>AF60-$Z$60</f>
        <v>-14.293999999999983</v>
      </c>
      <c r="AH61" s="156">
        <f>AH60-$Z$60</f>
        <v>-28.562000000000012</v>
      </c>
      <c r="AJ61" s="156">
        <f>AJ60-$Z$60</f>
        <v>-54.185999999999979</v>
      </c>
      <c r="AK61" s="156"/>
      <c r="AL61" s="156">
        <f>AL60-$Z$60</f>
        <v>-87.618999999999971</v>
      </c>
      <c r="AM61" s="156"/>
      <c r="AN61" s="156">
        <f>AN60-$Z$60</f>
        <v>-145.893</v>
      </c>
      <c r="AO61" s="156"/>
      <c r="AP61" s="156">
        <f>AP60-$Z$60</f>
        <v>-177.94499999999999</v>
      </c>
      <c r="AQ61" s="156"/>
      <c r="AR61" s="156">
        <f>AR60-$Z$60</f>
        <v>-221.40599999999998</v>
      </c>
      <c r="AS61" s="156"/>
      <c r="AT61" s="156">
        <f>AT60-$Z$60</f>
        <v>-229.28699999999998</v>
      </c>
      <c r="AU61" s="156"/>
      <c r="AV61" s="156">
        <f>AV60-$Z$60</f>
        <v>-239.43099999999998</v>
      </c>
      <c r="AW61" s="156"/>
      <c r="AX61" s="156">
        <f>AX60-$Z$60</f>
        <v>-250.37099999999998</v>
      </c>
      <c r="AY61" s="156"/>
      <c r="AZ61" s="156">
        <f>AZ60-$Z$60</f>
        <v>-260.09499999999997</v>
      </c>
      <c r="BA61" s="156"/>
      <c r="BB61" s="156">
        <f>BB60-$Z$60</f>
        <v>-265.19099999999997</v>
      </c>
      <c r="BC61" s="156"/>
      <c r="BD61" s="156">
        <f>BD60-$Z$60</f>
        <v>-269.75299999999999</v>
      </c>
      <c r="BE61" s="156"/>
      <c r="BF61" s="156">
        <f>BF60-$Z$60</f>
        <v>-275.71600000000001</v>
      </c>
      <c r="BG61" s="156"/>
      <c r="BH61" s="156">
        <f>BH60-$Z$60</f>
        <v>-264.21100000000001</v>
      </c>
      <c r="BI61" s="156"/>
      <c r="BJ61" s="157" t="s">
        <v>156</v>
      </c>
    </row>
    <row r="62" spans="1:63">
      <c r="A62" s="158" t="s">
        <v>157</v>
      </c>
      <c r="X62" s="159"/>
      <c r="Y62" s="160"/>
      <c r="Z62" s="159">
        <f>Z60-Z60</f>
        <v>0</v>
      </c>
      <c r="AA62" s="160"/>
      <c r="AB62" s="159">
        <f>Z60-AB60</f>
        <v>0.7389999999999759</v>
      </c>
      <c r="AC62" s="159"/>
      <c r="AD62" s="159"/>
      <c r="AE62" s="159"/>
      <c r="AF62" s="159"/>
      <c r="AG62" s="159"/>
      <c r="AH62" s="159">
        <f>AB60-AH60</f>
        <v>27.823000000000036</v>
      </c>
      <c r="AI62" s="159"/>
      <c r="AN62" s="159">
        <f>AH60-AN60</f>
        <v>117.33099999999999</v>
      </c>
      <c r="AO62" s="161"/>
      <c r="AP62" s="161"/>
      <c r="AQ62" s="161"/>
      <c r="AR62" s="161"/>
      <c r="AS62" s="161"/>
      <c r="AT62" s="159">
        <f>AN60-AT60</f>
        <v>83.393999999999977</v>
      </c>
      <c r="AU62" s="161"/>
      <c r="AV62" s="161"/>
      <c r="AW62" s="161"/>
      <c r="AX62" s="161"/>
      <c r="AY62" s="161"/>
      <c r="AZ62" s="159">
        <f>AT60-AZ60</f>
        <v>30.808000000000007</v>
      </c>
      <c r="BA62" s="159"/>
      <c r="BB62" s="159"/>
      <c r="BC62" s="159"/>
      <c r="BD62" s="159"/>
      <c r="BE62" s="159"/>
      <c r="BF62" s="159">
        <f>AZ60-BF60</f>
        <v>15.621000000000024</v>
      </c>
      <c r="BG62" s="159"/>
      <c r="BH62" s="159">
        <f>BF60-BH60</f>
        <v>-11.505000000000024</v>
      </c>
      <c r="BI62" s="159"/>
      <c r="BJ62" s="157" t="s">
        <v>158</v>
      </c>
    </row>
    <row r="63" spans="1:63" ht="73.5" customHeight="1">
      <c r="A63" s="162" t="s">
        <v>19</v>
      </c>
      <c r="B63" s="163" t="s">
        <v>20</v>
      </c>
      <c r="C63" s="163" t="s">
        <v>21</v>
      </c>
      <c r="D63" s="164" t="s">
        <v>22</v>
      </c>
      <c r="E63" s="165" t="s">
        <v>159</v>
      </c>
      <c r="F63" s="166" t="s">
        <v>160</v>
      </c>
      <c r="G63" s="166" t="s">
        <v>161</v>
      </c>
      <c r="H63" s="166" t="s">
        <v>162</v>
      </c>
      <c r="I63" s="166" t="s">
        <v>163</v>
      </c>
      <c r="J63" s="166" t="s">
        <v>164</v>
      </c>
      <c r="K63" s="166" t="s">
        <v>165</v>
      </c>
      <c r="L63" s="167" t="s">
        <v>166</v>
      </c>
      <c r="M63" s="168" t="s">
        <v>167</v>
      </c>
      <c r="N63" s="168" t="s">
        <v>168</v>
      </c>
      <c r="O63" s="169" t="s">
        <v>169</v>
      </c>
      <c r="P63" s="169" t="s">
        <v>170</v>
      </c>
      <c r="Q63" s="169" t="s">
        <v>171</v>
      </c>
      <c r="R63" s="170"/>
      <c r="S63" s="171">
        <v>44562</v>
      </c>
      <c r="T63" s="170"/>
      <c r="U63" s="171">
        <v>44593</v>
      </c>
      <c r="V63" s="170">
        <v>44621</v>
      </c>
      <c r="W63" s="171"/>
      <c r="X63" s="170">
        <v>44652</v>
      </c>
      <c r="Y63" s="171"/>
      <c r="Z63" s="170">
        <v>44682</v>
      </c>
      <c r="AA63" s="171"/>
      <c r="AB63" s="170">
        <v>44713</v>
      </c>
      <c r="AC63" s="171"/>
      <c r="AD63" s="170">
        <v>44722</v>
      </c>
      <c r="AE63" s="171"/>
      <c r="AF63" s="170">
        <v>44732</v>
      </c>
      <c r="AG63" s="171"/>
      <c r="AH63" s="170">
        <v>44743</v>
      </c>
      <c r="AI63" s="171"/>
      <c r="AJ63" s="170">
        <v>44752</v>
      </c>
      <c r="AK63" s="171"/>
      <c r="AL63" s="170">
        <v>44762</v>
      </c>
      <c r="AM63" s="171"/>
      <c r="AN63" s="170"/>
      <c r="AO63" s="171">
        <v>44774</v>
      </c>
      <c r="AP63" s="170"/>
      <c r="AQ63" s="171">
        <v>44783</v>
      </c>
      <c r="AR63" s="170"/>
      <c r="AS63" s="171">
        <v>44793</v>
      </c>
      <c r="AT63" s="170"/>
      <c r="AU63" s="171">
        <v>44805</v>
      </c>
      <c r="AV63" s="170"/>
      <c r="AW63" s="171">
        <v>44814</v>
      </c>
      <c r="AX63" s="170"/>
      <c r="AY63" s="171">
        <v>44824</v>
      </c>
      <c r="AZ63" s="170"/>
      <c r="BA63" s="171">
        <v>44835</v>
      </c>
      <c r="BB63" s="170"/>
      <c r="BC63" s="171">
        <v>44844</v>
      </c>
      <c r="BD63" s="170"/>
      <c r="BE63" s="171">
        <v>44854</v>
      </c>
      <c r="BF63" s="170"/>
      <c r="BG63" s="171">
        <v>44866</v>
      </c>
      <c r="BH63" s="170"/>
      <c r="BI63" s="171">
        <v>44896</v>
      </c>
      <c r="BJ63" s="172" t="s">
        <v>37</v>
      </c>
      <c r="BK63" s="173" t="s">
        <v>173</v>
      </c>
    </row>
    <row r="64" spans="1:63">
      <c r="A64" s="174" t="s">
        <v>124</v>
      </c>
      <c r="B64" s="175" t="s">
        <v>174</v>
      </c>
      <c r="C64" s="176" t="s">
        <v>175</v>
      </c>
      <c r="D64" s="177" t="s">
        <v>176</v>
      </c>
      <c r="E64" s="42"/>
      <c r="F64" s="42"/>
      <c r="G64" s="42"/>
      <c r="H64" s="42"/>
      <c r="I64" s="42"/>
      <c r="J64" s="42"/>
      <c r="K64" s="42"/>
      <c r="L64" s="43"/>
      <c r="M64" s="44"/>
      <c r="N64" s="44"/>
      <c r="O64" s="45"/>
      <c r="P64" s="178"/>
      <c r="Q64" s="178">
        <v>1.1000000000000001</v>
      </c>
      <c r="R64" s="179"/>
      <c r="S64" s="180"/>
      <c r="T64" s="179"/>
      <c r="U64" s="180"/>
      <c r="V64" s="179"/>
      <c r="W64" s="180"/>
      <c r="X64" s="179"/>
      <c r="Y64" s="180"/>
      <c r="Z64" s="179"/>
      <c r="AA64" s="180"/>
      <c r="AB64" s="179"/>
      <c r="AC64" s="180"/>
      <c r="AD64" s="179"/>
      <c r="AE64" s="180"/>
      <c r="AF64" s="179"/>
      <c r="AG64" s="180"/>
      <c r="AH64" s="181">
        <v>1.1000000000000001</v>
      </c>
      <c r="AI64" s="47">
        <f>AH64/$Q64</f>
        <v>1</v>
      </c>
      <c r="AJ64" s="181">
        <v>1.1000000000000001</v>
      </c>
      <c r="AK64" s="47">
        <f>AJ64/$Q64</f>
        <v>1</v>
      </c>
      <c r="AL64" s="181">
        <v>0.371</v>
      </c>
      <c r="AM64" s="47">
        <f>AL64/$Q64</f>
        <v>0.33727272727272722</v>
      </c>
      <c r="AN64" s="181">
        <v>0.1</v>
      </c>
      <c r="AO64" s="47">
        <f>AN64/$Q64</f>
        <v>9.0909090909090912E-2</v>
      </c>
      <c r="AP64" s="46">
        <v>0.1</v>
      </c>
      <c r="AQ64" s="47">
        <f>AP64/$Q64</f>
        <v>9.0909090909090912E-2</v>
      </c>
      <c r="AR64" s="46">
        <v>0.1</v>
      </c>
      <c r="AS64" s="47">
        <f>AR64/$Q64</f>
        <v>9.0909090909090912E-2</v>
      </c>
      <c r="AT64" s="46">
        <v>0.04</v>
      </c>
      <c r="AU64" s="47">
        <f t="shared" ref="AU64:AU71" si="93">AT64/$Q64</f>
        <v>3.6363636363636362E-2</v>
      </c>
      <c r="AV64" s="46">
        <v>0</v>
      </c>
      <c r="AW64" s="47">
        <f>AV64/$Q64</f>
        <v>0</v>
      </c>
      <c r="AX64" s="46">
        <v>0</v>
      </c>
      <c r="AY64" s="47">
        <f>AX64/$Q64</f>
        <v>0</v>
      </c>
      <c r="AZ64" s="46">
        <v>0</v>
      </c>
      <c r="BA64" s="47">
        <f>AZ64/$Q64</f>
        <v>0</v>
      </c>
      <c r="BB64" s="46">
        <v>0</v>
      </c>
      <c r="BC64" s="47">
        <f>BB64/$Q64</f>
        <v>0</v>
      </c>
      <c r="BD64" s="183">
        <v>0</v>
      </c>
      <c r="BE64" s="47">
        <f>BD64/$Q64</f>
        <v>0</v>
      </c>
      <c r="BF64" s="181">
        <v>0</v>
      </c>
      <c r="BG64" s="47">
        <f>BF64/$Q64</f>
        <v>0</v>
      </c>
      <c r="BH64" s="179"/>
      <c r="BI64" s="184"/>
      <c r="BJ64" s="185" t="s">
        <v>177</v>
      </c>
      <c r="BK64" s="140" t="s">
        <v>178</v>
      </c>
    </row>
    <row r="65" spans="1:63" s="24" customFormat="1">
      <c r="A65" s="174" t="s">
        <v>120</v>
      </c>
      <c r="B65" s="175" t="s">
        <v>179</v>
      </c>
      <c r="C65" s="176">
        <v>37</v>
      </c>
      <c r="D65" s="177" t="s">
        <v>180</v>
      </c>
      <c r="E65" s="187">
        <v>33</v>
      </c>
      <c r="F65" s="188">
        <v>33</v>
      </c>
      <c r="G65" s="188">
        <v>33</v>
      </c>
      <c r="H65" s="188">
        <v>33</v>
      </c>
      <c r="I65" s="188">
        <v>33</v>
      </c>
      <c r="J65" s="188">
        <v>33</v>
      </c>
      <c r="K65" s="188">
        <v>33</v>
      </c>
      <c r="L65" s="189">
        <v>33</v>
      </c>
      <c r="M65" s="190">
        <v>33</v>
      </c>
      <c r="N65" s="190">
        <v>33</v>
      </c>
      <c r="O65" s="178">
        <v>33</v>
      </c>
      <c r="P65" s="178">
        <v>33</v>
      </c>
      <c r="Q65" s="178">
        <v>33</v>
      </c>
      <c r="R65" s="179"/>
      <c r="S65" s="180"/>
      <c r="T65" s="179"/>
      <c r="U65" s="180"/>
      <c r="V65" s="179"/>
      <c r="W65" s="180"/>
      <c r="X65" s="179"/>
      <c r="Y65" s="180"/>
      <c r="Z65" s="179"/>
      <c r="AA65" s="180"/>
      <c r="AB65" s="179"/>
      <c r="AC65" s="180"/>
      <c r="AD65" s="179"/>
      <c r="AE65" s="180"/>
      <c r="AF65" s="179"/>
      <c r="AG65" s="180"/>
      <c r="AH65" s="178">
        <v>32.582000000000001</v>
      </c>
      <c r="AI65" s="204">
        <f>AH65/$Q$65</f>
        <v>0.9873333333333334</v>
      </c>
      <c r="AJ65" s="178">
        <v>27.968</v>
      </c>
      <c r="AK65" s="204">
        <f>AJ65/$Q$65</f>
        <v>0.84751515151515155</v>
      </c>
      <c r="AL65" s="178">
        <v>23.302</v>
      </c>
      <c r="AM65" s="204">
        <f>AL65/$Q$65</f>
        <v>0.70612121212121215</v>
      </c>
      <c r="AN65" s="178">
        <v>22.2</v>
      </c>
      <c r="AO65" s="204">
        <f>AN65/$Q$65</f>
        <v>0.67272727272727273</v>
      </c>
      <c r="AP65" s="178">
        <v>19.367000000000001</v>
      </c>
      <c r="AQ65" s="204">
        <f>AP65/$Q$65</f>
        <v>0.58687878787878789</v>
      </c>
      <c r="AR65" s="178">
        <v>15.726000000000001</v>
      </c>
      <c r="AS65" s="204">
        <f>AR65/$Q$65</f>
        <v>0.47654545454545455</v>
      </c>
      <c r="AT65" s="178">
        <v>12.89</v>
      </c>
      <c r="AU65" s="204">
        <f t="shared" si="93"/>
        <v>0.39060606060606062</v>
      </c>
      <c r="AV65" s="178">
        <v>12.32</v>
      </c>
      <c r="AW65" s="204">
        <f>AV65/$Q$65</f>
        <v>0.37333333333333335</v>
      </c>
      <c r="AX65" s="178">
        <v>11.609</v>
      </c>
      <c r="AY65" s="204">
        <f>AX65/$Q$65</f>
        <v>0.35178787878787876</v>
      </c>
      <c r="AZ65" s="178">
        <v>10.25</v>
      </c>
      <c r="BA65" s="204">
        <f>AZ65/$Q$65</f>
        <v>0.31060606060606061</v>
      </c>
      <c r="BB65" s="46">
        <v>7.4859999999999998</v>
      </c>
      <c r="BC65" s="204">
        <f>BB65/$Q$65</f>
        <v>0.22684848484848485</v>
      </c>
      <c r="BD65" s="178">
        <v>3.68</v>
      </c>
      <c r="BE65" s="204">
        <f>BD65/$Q$65</f>
        <v>0.11151515151515153</v>
      </c>
      <c r="BF65" s="181">
        <v>2.6469999999999998</v>
      </c>
      <c r="BG65" s="47">
        <f>BF65/$Q65</f>
        <v>8.0212121212121207E-2</v>
      </c>
      <c r="BH65" s="179"/>
      <c r="BI65" s="184"/>
      <c r="BJ65" s="194" t="s">
        <v>181</v>
      </c>
      <c r="BK65" s="140" t="s">
        <v>182</v>
      </c>
    </row>
    <row r="66" spans="1:63" s="24" customFormat="1" ht="25.5">
      <c r="A66" s="195" t="s">
        <v>183</v>
      </c>
      <c r="B66" s="196" t="s">
        <v>184</v>
      </c>
      <c r="C66" s="197">
        <v>40</v>
      </c>
      <c r="D66" s="198" t="s">
        <v>185</v>
      </c>
      <c r="E66" s="199">
        <v>19</v>
      </c>
      <c r="F66" s="200">
        <v>34</v>
      </c>
      <c r="G66" s="200">
        <v>34</v>
      </c>
      <c r="H66" s="200">
        <v>34</v>
      </c>
      <c r="I66" s="200">
        <v>34</v>
      </c>
      <c r="J66" s="200">
        <v>34</v>
      </c>
      <c r="K66" s="200">
        <v>34</v>
      </c>
      <c r="L66" s="201">
        <v>34</v>
      </c>
      <c r="M66" s="202">
        <v>34</v>
      </c>
      <c r="N66" s="202">
        <v>20</v>
      </c>
      <c r="O66" s="203">
        <v>20</v>
      </c>
      <c r="P66" s="178">
        <v>22.5</v>
      </c>
      <c r="Q66" s="203">
        <f>2.5+20</f>
        <v>22.5</v>
      </c>
      <c r="R66" s="179"/>
      <c r="S66" s="180"/>
      <c r="T66" s="179"/>
      <c r="U66" s="180"/>
      <c r="V66" s="179"/>
      <c r="W66" s="180"/>
      <c r="X66" s="179"/>
      <c r="Y66" s="180"/>
      <c r="Z66" s="179"/>
      <c r="AA66" s="180"/>
      <c r="AB66" s="179"/>
      <c r="AC66" s="180"/>
      <c r="AD66" s="179"/>
      <c r="AE66" s="180"/>
      <c r="AF66" s="179"/>
      <c r="AG66" s="180"/>
      <c r="AH66" s="178">
        <v>21.405000000000001</v>
      </c>
      <c r="AI66" s="204">
        <f>AH66/$Q$66</f>
        <v>0.95133333333333336</v>
      </c>
      <c r="AJ66" s="181">
        <v>20.015000000000001</v>
      </c>
      <c r="AK66" s="204">
        <f>AJ66/$Q$65</f>
        <v>0.60651515151515156</v>
      </c>
      <c r="AL66" s="181">
        <v>13.787000000000001</v>
      </c>
      <c r="AM66" s="204">
        <f>AL66/$Q$66</f>
        <v>0.61275555555555561</v>
      </c>
      <c r="AN66" s="181">
        <v>10.978</v>
      </c>
      <c r="AO66" s="204">
        <f>AN66/$Q$66</f>
        <v>0.48791111111111107</v>
      </c>
      <c r="AP66" s="181">
        <v>7.63</v>
      </c>
      <c r="AQ66" s="204">
        <f>AP66/$Q$66</f>
        <v>0.33911111111111109</v>
      </c>
      <c r="AR66" s="181">
        <v>3.0449999999999999</v>
      </c>
      <c r="AS66" s="204">
        <f>AR66/$Q$66</f>
        <v>0.13533333333333333</v>
      </c>
      <c r="AT66" s="181">
        <v>1.81</v>
      </c>
      <c r="AU66" s="204">
        <f t="shared" si="93"/>
        <v>8.0444444444444443E-2</v>
      </c>
      <c r="AV66" s="181">
        <v>1.175</v>
      </c>
      <c r="AW66" s="204">
        <f>AV66/$Q$66</f>
        <v>5.2222222222222225E-2</v>
      </c>
      <c r="AX66" s="181">
        <v>0.621</v>
      </c>
      <c r="AY66" s="204">
        <f>AX66/$Q$66</f>
        <v>2.76E-2</v>
      </c>
      <c r="AZ66" s="181">
        <v>0.432</v>
      </c>
      <c r="BA66" s="204">
        <f>AZ66/$Q$66</f>
        <v>1.9199999999999998E-2</v>
      </c>
      <c r="BB66" s="46">
        <v>0.432</v>
      </c>
      <c r="BC66" s="204">
        <f>BB66/$Q$66</f>
        <v>1.9199999999999998E-2</v>
      </c>
      <c r="BD66" s="181">
        <v>0.43</v>
      </c>
      <c r="BE66" s="204">
        <f>BD66/$Q$66</f>
        <v>1.911111111111111E-2</v>
      </c>
      <c r="BF66" s="181">
        <v>0.43</v>
      </c>
      <c r="BG66" s="204">
        <f>BF66/$Q$66</f>
        <v>1.911111111111111E-2</v>
      </c>
      <c r="BH66" s="205"/>
      <c r="BI66" s="206"/>
      <c r="BJ66" s="207" t="s">
        <v>177</v>
      </c>
      <c r="BK66" s="208" t="s">
        <v>186</v>
      </c>
    </row>
    <row r="67" spans="1:63" s="24" customFormat="1">
      <c r="A67" s="195" t="s">
        <v>187</v>
      </c>
      <c r="B67" s="196" t="s">
        <v>188</v>
      </c>
      <c r="C67" s="197">
        <v>60</v>
      </c>
      <c r="D67" s="209" t="s">
        <v>189</v>
      </c>
      <c r="E67" s="199"/>
      <c r="F67" s="200"/>
      <c r="G67" s="200"/>
      <c r="H67" s="200"/>
      <c r="I67" s="200"/>
      <c r="J67" s="200"/>
      <c r="K67" s="200"/>
      <c r="L67" s="201"/>
      <c r="M67" s="202">
        <v>5</v>
      </c>
      <c r="N67" s="202">
        <v>5</v>
      </c>
      <c r="O67" s="203">
        <v>5</v>
      </c>
      <c r="P67" s="203">
        <v>5</v>
      </c>
      <c r="Q67" s="203">
        <v>5</v>
      </c>
      <c r="R67" s="179"/>
      <c r="S67" s="180"/>
      <c r="T67" s="179"/>
      <c r="U67" s="180"/>
      <c r="V67" s="179"/>
      <c r="W67" s="180"/>
      <c r="X67" s="179"/>
      <c r="Y67" s="180"/>
      <c r="Z67" s="179"/>
      <c r="AA67" s="180"/>
      <c r="AB67" s="179"/>
      <c r="AC67" s="180"/>
      <c r="AD67" s="179"/>
      <c r="AE67" s="180"/>
      <c r="AF67" s="179"/>
      <c r="AG67" s="180"/>
      <c r="AH67" s="178">
        <v>5</v>
      </c>
      <c r="AI67" s="204">
        <f>AH67/$Q$67</f>
        <v>1</v>
      </c>
      <c r="AJ67" s="181">
        <v>5</v>
      </c>
      <c r="AK67" s="204">
        <f>AJ67/$Q$65</f>
        <v>0.15151515151515152</v>
      </c>
      <c r="AL67" s="181">
        <v>5</v>
      </c>
      <c r="AM67" s="204">
        <f>AL67/$Q$67</f>
        <v>1</v>
      </c>
      <c r="AN67" s="181">
        <v>3.75</v>
      </c>
      <c r="AO67" s="204">
        <f>AN67/$Q$67</f>
        <v>0.75</v>
      </c>
      <c r="AP67" s="181">
        <v>3.141</v>
      </c>
      <c r="AQ67" s="204">
        <f>AP67/$Q$67</f>
        <v>0.62819999999999998</v>
      </c>
      <c r="AR67" s="181">
        <v>2.173</v>
      </c>
      <c r="AS67" s="204">
        <f>AR67/$Q$67</f>
        <v>0.43459999999999999</v>
      </c>
      <c r="AT67" s="181">
        <v>2.09</v>
      </c>
      <c r="AU67" s="204">
        <f t="shared" si="93"/>
        <v>0.41799999999999998</v>
      </c>
      <c r="AV67" s="181">
        <v>2.0859999999999999</v>
      </c>
      <c r="AW67" s="204">
        <f>AV67/$Q$67</f>
        <v>0.41719999999999996</v>
      </c>
      <c r="AX67" s="181">
        <v>1.9450000000000001</v>
      </c>
      <c r="AY67" s="204">
        <f>AX67/$Q$67</f>
        <v>0.38900000000000001</v>
      </c>
      <c r="AZ67" s="181">
        <v>1.7150000000000001</v>
      </c>
      <c r="BA67" s="204">
        <f>AZ67/$Q$67</f>
        <v>0.34300000000000003</v>
      </c>
      <c r="BB67" s="46">
        <v>1.7150000000000001</v>
      </c>
      <c r="BC67" s="204">
        <f>BB67/$Q$67</f>
        <v>0.34300000000000003</v>
      </c>
      <c r="BD67" s="181">
        <v>1.7150000000000001</v>
      </c>
      <c r="BE67" s="204">
        <f>BD67/$Q$67</f>
        <v>0.34300000000000003</v>
      </c>
      <c r="BF67" s="181">
        <v>1.7150000000000001</v>
      </c>
      <c r="BG67" s="204">
        <f>BF67/$Q$67</f>
        <v>0.34300000000000003</v>
      </c>
      <c r="BH67" s="205"/>
      <c r="BI67" s="206"/>
      <c r="BJ67" s="207" t="s">
        <v>177</v>
      </c>
      <c r="BK67" s="140" t="s">
        <v>190</v>
      </c>
    </row>
    <row r="68" spans="1:63" s="221" customFormat="1" ht="25.5">
      <c r="A68" s="195" t="s">
        <v>39</v>
      </c>
      <c r="B68" s="196" t="s">
        <v>191</v>
      </c>
      <c r="C68" s="197">
        <v>61</v>
      </c>
      <c r="D68" s="198" t="s">
        <v>192</v>
      </c>
      <c r="E68" s="199"/>
      <c r="F68" s="200"/>
      <c r="G68" s="200"/>
      <c r="H68" s="200"/>
      <c r="I68" s="200"/>
      <c r="J68" s="200"/>
      <c r="K68" s="200"/>
      <c r="L68" s="201"/>
      <c r="M68" s="202"/>
      <c r="N68" s="202"/>
      <c r="O68" s="203"/>
      <c r="P68" s="203"/>
      <c r="Q68" s="210">
        <v>2.6</v>
      </c>
      <c r="R68" s="179"/>
      <c r="S68" s="180"/>
      <c r="T68" s="179"/>
      <c r="U68" s="180"/>
      <c r="V68" s="179"/>
      <c r="W68" s="180"/>
      <c r="X68" s="179"/>
      <c r="Y68" s="180"/>
      <c r="Z68" s="179"/>
      <c r="AA68" s="180"/>
      <c r="AB68" s="179"/>
      <c r="AC68" s="180"/>
      <c r="AD68" s="211"/>
      <c r="AE68" s="212"/>
      <c r="AF68" s="211"/>
      <c r="AG68" s="212"/>
      <c r="AH68" s="211"/>
      <c r="AI68" s="212"/>
      <c r="AJ68" s="213"/>
      <c r="AK68" s="212"/>
      <c r="AL68" s="182">
        <v>1.71</v>
      </c>
      <c r="AM68" s="214">
        <f>AL68/$Q$68</f>
        <v>0.65769230769230769</v>
      </c>
      <c r="AN68" s="182">
        <v>0.57099999999999995</v>
      </c>
      <c r="AO68" s="214">
        <f>AN68/$Q$68</f>
        <v>0.2196153846153846</v>
      </c>
      <c r="AP68" s="182">
        <v>0</v>
      </c>
      <c r="AQ68" s="214">
        <f>AP68/$Q$68</f>
        <v>0</v>
      </c>
      <c r="AR68" s="182">
        <v>0</v>
      </c>
      <c r="AS68" s="214">
        <f>AR68/$Q$68</f>
        <v>0</v>
      </c>
      <c r="AT68" s="182">
        <v>0</v>
      </c>
      <c r="AU68" s="214">
        <f t="shared" si="93"/>
        <v>0</v>
      </c>
      <c r="AV68" s="182">
        <v>0</v>
      </c>
      <c r="AW68" s="214">
        <f>AV68/$Q$68</f>
        <v>0</v>
      </c>
      <c r="AX68" s="182">
        <v>0</v>
      </c>
      <c r="AY68" s="214">
        <f>AX68/$Q$68</f>
        <v>0</v>
      </c>
      <c r="AZ68" s="215"/>
      <c r="BA68" s="216"/>
      <c r="BB68" s="217"/>
      <c r="BC68" s="216"/>
      <c r="BD68" s="215"/>
      <c r="BE68" s="216"/>
      <c r="BF68" s="215"/>
      <c r="BG68" s="216"/>
      <c r="BH68" s="215"/>
      <c r="BI68" s="218"/>
      <c r="BJ68" s="219" t="s">
        <v>193</v>
      </c>
      <c r="BK68" s="220" t="s">
        <v>194</v>
      </c>
    </row>
    <row r="69" spans="1:63" s="24" customFormat="1" ht="72" customHeight="1">
      <c r="A69" s="222" t="s">
        <v>195</v>
      </c>
      <c r="B69" s="196" t="s">
        <v>196</v>
      </c>
      <c r="C69" s="197">
        <v>36</v>
      </c>
      <c r="D69" s="198" t="s">
        <v>98</v>
      </c>
      <c r="E69" s="199"/>
      <c r="F69" s="200">
        <v>48</v>
      </c>
      <c r="G69" s="200">
        <v>48</v>
      </c>
      <c r="H69" s="200">
        <v>48</v>
      </c>
      <c r="I69" s="200">
        <v>48</v>
      </c>
      <c r="J69" s="200">
        <v>48</v>
      </c>
      <c r="K69" s="200">
        <v>48</v>
      </c>
      <c r="L69" s="201">
        <v>48</v>
      </c>
      <c r="M69" s="202">
        <v>48</v>
      </c>
      <c r="N69" s="202">
        <v>48</v>
      </c>
      <c r="O69" s="203">
        <v>48</v>
      </c>
      <c r="P69" s="203">
        <v>48</v>
      </c>
      <c r="Q69" s="203">
        <v>48</v>
      </c>
      <c r="R69" s="181">
        <v>6.4</v>
      </c>
      <c r="S69" s="204">
        <f>R69/10</f>
        <v>0.64</v>
      </c>
      <c r="T69" s="181">
        <v>5</v>
      </c>
      <c r="U69" s="204">
        <f>T69/5</f>
        <v>1</v>
      </c>
      <c r="V69" s="213"/>
      <c r="W69" s="212"/>
      <c r="X69" s="179"/>
      <c r="Y69" s="180"/>
      <c r="Z69" s="179"/>
      <c r="AA69" s="180"/>
      <c r="AB69" s="181">
        <v>48</v>
      </c>
      <c r="AC69" s="204">
        <f>AB69/$Q$69</f>
        <v>1</v>
      </c>
      <c r="AD69" s="181">
        <v>48</v>
      </c>
      <c r="AE69" s="204">
        <f>AD69/$Q$69</f>
        <v>1</v>
      </c>
      <c r="AF69" s="181">
        <v>48</v>
      </c>
      <c r="AG69" s="204">
        <f>AF69/$Q$69</f>
        <v>1</v>
      </c>
      <c r="AH69" s="181">
        <v>47.892000000000003</v>
      </c>
      <c r="AI69" s="204">
        <f>AH69/$Q$69</f>
        <v>0.99775000000000003</v>
      </c>
      <c r="AJ69" s="181">
        <v>46.558</v>
      </c>
      <c r="AK69" s="204">
        <f>AJ69/$Q$69</f>
        <v>0.96995833333333337</v>
      </c>
      <c r="AL69" s="181">
        <v>42.695999999999998</v>
      </c>
      <c r="AM69" s="204">
        <f>AL69/$Q$69</f>
        <v>0.88949999999999996</v>
      </c>
      <c r="AN69" s="181">
        <v>34.286999999999999</v>
      </c>
      <c r="AO69" s="204">
        <f>AN69/$Q$69</f>
        <v>0.71431250000000002</v>
      </c>
      <c r="AP69" s="181">
        <v>29.838000000000001</v>
      </c>
      <c r="AQ69" s="204">
        <f>AP69/$Q$69</f>
        <v>0.62162499999999998</v>
      </c>
      <c r="AR69" s="181">
        <v>19.510000000000002</v>
      </c>
      <c r="AS69" s="204">
        <f>AR69/$Q$69</f>
        <v>0.40645833333333337</v>
      </c>
      <c r="AT69" s="181">
        <v>16.29</v>
      </c>
      <c r="AU69" s="204">
        <f t="shared" si="93"/>
        <v>0.33937499999999998</v>
      </c>
      <c r="AV69" s="181">
        <v>14.327</v>
      </c>
      <c r="AW69" s="204">
        <f>AV69/$Q$69</f>
        <v>0.29847916666666668</v>
      </c>
      <c r="AX69" s="181">
        <v>13.207000000000001</v>
      </c>
      <c r="AY69" s="204">
        <f>AX69/$Q$69</f>
        <v>0.27514583333333337</v>
      </c>
      <c r="AZ69" s="181">
        <v>11.739000000000001</v>
      </c>
      <c r="BA69" s="204">
        <f>AZ69/$Q$69</f>
        <v>0.24456250000000002</v>
      </c>
      <c r="BB69" s="46">
        <v>10.788</v>
      </c>
      <c r="BC69" s="204">
        <f>BB69/$Q$69</f>
        <v>0.22475000000000001</v>
      </c>
      <c r="BD69" s="181">
        <v>9.9239999999999995</v>
      </c>
      <c r="BE69" s="204">
        <f>BD69/$Q$69</f>
        <v>0.20674999999999999</v>
      </c>
      <c r="BF69" s="181">
        <v>9.42</v>
      </c>
      <c r="BG69" s="204">
        <f>BF69/$Q$69</f>
        <v>0.19625000000000001</v>
      </c>
      <c r="BH69" s="181">
        <v>8.9049999999999994</v>
      </c>
      <c r="BI69" s="223">
        <f>BH69/$Q$69</f>
        <v>0.18552083333333333</v>
      </c>
      <c r="BJ69" s="207" t="s">
        <v>42</v>
      </c>
      <c r="BK69" s="208" t="s">
        <v>197</v>
      </c>
    </row>
    <row r="70" spans="1:63" s="24" customFormat="1">
      <c r="A70" s="195" t="s">
        <v>72</v>
      </c>
      <c r="B70" s="196" t="s">
        <v>198</v>
      </c>
      <c r="C70" s="197">
        <v>41</v>
      </c>
      <c r="D70" s="209" t="s">
        <v>199</v>
      </c>
      <c r="E70" s="199">
        <v>46</v>
      </c>
      <c r="F70" s="200">
        <v>46</v>
      </c>
      <c r="G70" s="200">
        <v>46</v>
      </c>
      <c r="H70" s="200">
        <v>46</v>
      </c>
      <c r="I70" s="200">
        <v>46</v>
      </c>
      <c r="J70" s="200">
        <v>46</v>
      </c>
      <c r="K70" s="200">
        <v>46</v>
      </c>
      <c r="L70" s="201">
        <v>46</v>
      </c>
      <c r="M70" s="202">
        <v>46</v>
      </c>
      <c r="N70" s="202">
        <v>46</v>
      </c>
      <c r="O70" s="203">
        <v>46</v>
      </c>
      <c r="P70" s="203">
        <v>42</v>
      </c>
      <c r="Q70" s="203">
        <v>53</v>
      </c>
      <c r="R70" s="179"/>
      <c r="S70" s="180"/>
      <c r="T70" s="179"/>
      <c r="U70" s="180"/>
      <c r="V70" s="179"/>
      <c r="W70" s="180"/>
      <c r="X70" s="179"/>
      <c r="Y70" s="180"/>
      <c r="Z70" s="179"/>
      <c r="AA70" s="180"/>
      <c r="AB70" s="179"/>
      <c r="AC70" s="180"/>
      <c r="AD70" s="179"/>
      <c r="AE70" s="180"/>
      <c r="AF70" s="179"/>
      <c r="AG70" s="180"/>
      <c r="AH70" s="178">
        <v>53.23</v>
      </c>
      <c r="AI70" s="204">
        <f>AH70/$Q$70</f>
        <v>1.0043396226415093</v>
      </c>
      <c r="AJ70" s="181">
        <v>51.847000000000001</v>
      </c>
      <c r="AK70" s="204">
        <f>AJ70/$Q$70</f>
        <v>0.97824528301886793</v>
      </c>
      <c r="AL70" s="181">
        <v>40.192</v>
      </c>
      <c r="AM70" s="204">
        <f>AL70/$Q$70</f>
        <v>0.75833962264150945</v>
      </c>
      <c r="AN70" s="181">
        <v>29.297000000000001</v>
      </c>
      <c r="AO70" s="204">
        <f>AN70/$Q$70</f>
        <v>0.55277358490566042</v>
      </c>
      <c r="AP70" s="181">
        <v>22.954999999999998</v>
      </c>
      <c r="AQ70" s="204">
        <f>AP70/$Q$70</f>
        <v>0.43311320754716975</v>
      </c>
      <c r="AR70" s="181">
        <v>15.055999999999999</v>
      </c>
      <c r="AS70" s="204">
        <f>AR70/$Q$70</f>
        <v>0.2840754716981132</v>
      </c>
      <c r="AT70" s="181">
        <v>13.2</v>
      </c>
      <c r="AU70" s="204">
        <f t="shared" si="93"/>
        <v>0.24905660377358491</v>
      </c>
      <c r="AV70" s="181">
        <v>12.538</v>
      </c>
      <c r="AW70" s="204">
        <f>AV70/$Q$70</f>
        <v>0.23656603773584906</v>
      </c>
      <c r="AX70" s="181">
        <v>11.694000000000001</v>
      </c>
      <c r="AY70" s="204">
        <f>AX70/$Q$70</f>
        <v>0.22064150943396227</v>
      </c>
      <c r="AZ70" s="181">
        <v>9.5090000000000003</v>
      </c>
      <c r="BA70" s="204">
        <f>AZ70/$Q$70</f>
        <v>0.17941509433962266</v>
      </c>
      <c r="BB70" s="46">
        <v>9.5090000000000003</v>
      </c>
      <c r="BC70" s="204">
        <f>BB70/$Q$70</f>
        <v>0.17941509433962266</v>
      </c>
      <c r="BD70" s="181">
        <v>9.82</v>
      </c>
      <c r="BE70" s="204">
        <f>BD70/$Q$70</f>
        <v>0.18528301886792453</v>
      </c>
      <c r="BF70" s="181">
        <v>9.8000000000000007</v>
      </c>
      <c r="BG70" s="204">
        <f>BF70/$Q$70</f>
        <v>0.18490566037735851</v>
      </c>
      <c r="BH70" s="205"/>
      <c r="BI70" s="206"/>
      <c r="BJ70" s="194" t="s">
        <v>200</v>
      </c>
      <c r="BK70" s="208" t="s">
        <v>201</v>
      </c>
    </row>
    <row r="71" spans="1:63" s="24" customFormat="1">
      <c r="A71" s="224" t="s">
        <v>72</v>
      </c>
      <c r="B71" s="225" t="s">
        <v>202</v>
      </c>
      <c r="C71" s="226">
        <v>45</v>
      </c>
      <c r="D71" s="227" t="s">
        <v>203</v>
      </c>
      <c r="E71" s="228"/>
      <c r="F71" s="229">
        <v>5</v>
      </c>
      <c r="G71" s="229">
        <v>5</v>
      </c>
      <c r="H71" s="229">
        <v>5</v>
      </c>
      <c r="I71" s="229">
        <v>5</v>
      </c>
      <c r="J71" s="229">
        <v>5</v>
      </c>
      <c r="K71" s="229">
        <v>5</v>
      </c>
      <c r="L71" s="230">
        <v>5</v>
      </c>
      <c r="M71" s="231">
        <v>5</v>
      </c>
      <c r="N71" s="231">
        <v>5</v>
      </c>
      <c r="O71" s="232">
        <v>5</v>
      </c>
      <c r="P71" s="203">
        <v>11</v>
      </c>
      <c r="Q71" s="232">
        <v>8.39</v>
      </c>
      <c r="R71" s="179"/>
      <c r="S71" s="180"/>
      <c r="T71" s="179"/>
      <c r="U71" s="180"/>
      <c r="V71" s="179"/>
      <c r="W71" s="180"/>
      <c r="X71" s="179"/>
      <c r="Y71" s="180"/>
      <c r="Z71" s="179"/>
      <c r="AA71" s="180"/>
      <c r="AB71" s="179"/>
      <c r="AC71" s="180"/>
      <c r="AD71" s="179"/>
      <c r="AE71" s="180"/>
      <c r="AF71" s="179"/>
      <c r="AG71" s="180"/>
      <c r="AH71" s="211"/>
      <c r="AI71" s="212"/>
      <c r="AJ71" s="233"/>
      <c r="AK71" s="212"/>
      <c r="AL71" s="233"/>
      <c r="AM71" s="212"/>
      <c r="AN71" s="233"/>
      <c r="AO71" s="212"/>
      <c r="AP71" s="233"/>
      <c r="AQ71" s="212"/>
      <c r="AR71" s="233">
        <v>7.819</v>
      </c>
      <c r="AS71" s="212"/>
      <c r="AT71" s="234">
        <v>6.87</v>
      </c>
      <c r="AU71" s="204">
        <f t="shared" si="93"/>
        <v>0.81883194278903448</v>
      </c>
      <c r="AV71" s="234">
        <v>6.01</v>
      </c>
      <c r="AW71" s="204">
        <f>AV71/$Q$71</f>
        <v>0.71632896305125138</v>
      </c>
      <c r="AX71" s="234">
        <v>5.1929999999999996</v>
      </c>
      <c r="AY71" s="204">
        <f>AX71/$Q$71</f>
        <v>0.61895113230035748</v>
      </c>
      <c r="AZ71" s="234">
        <v>3.9870000000000001</v>
      </c>
      <c r="BA71" s="204">
        <f>AZ71/$Q$71</f>
        <v>0.47520858164481522</v>
      </c>
      <c r="BB71" s="46">
        <v>3.7850000000000001</v>
      </c>
      <c r="BC71" s="204">
        <f>BB71/$Q$71</f>
        <v>0.45113230035756852</v>
      </c>
      <c r="BD71" s="234">
        <v>2.4300000000000002</v>
      </c>
      <c r="BE71" s="204">
        <f>BD71/$Q$71</f>
        <v>0.28963051251489869</v>
      </c>
      <c r="BF71" s="181">
        <v>2.5</v>
      </c>
      <c r="BG71" s="204">
        <f>BF71/$Q$71</f>
        <v>0.29797377830750893</v>
      </c>
      <c r="BH71" s="235"/>
      <c r="BI71" s="236"/>
      <c r="BJ71" s="237" t="s">
        <v>200</v>
      </c>
      <c r="BK71" s="238" t="s">
        <v>204</v>
      </c>
    </row>
    <row r="72" spans="1:63" s="24" customFormat="1" ht="9" customHeight="1">
      <c r="A72" s="239"/>
      <c r="B72" s="240"/>
      <c r="C72" s="240"/>
      <c r="D72" s="241"/>
      <c r="E72" s="242"/>
      <c r="F72" s="243"/>
      <c r="G72" s="243"/>
      <c r="H72" s="243"/>
      <c r="I72" s="243"/>
      <c r="J72" s="243"/>
      <c r="K72" s="243"/>
      <c r="L72" s="244"/>
      <c r="M72" s="245"/>
      <c r="N72" s="245"/>
      <c r="O72" s="245"/>
      <c r="P72" s="245"/>
      <c r="Q72" s="245"/>
      <c r="R72" s="246"/>
      <c r="S72" s="247"/>
      <c r="T72" s="246"/>
      <c r="U72" s="247"/>
      <c r="V72" s="246"/>
      <c r="W72" s="247"/>
      <c r="X72" s="246"/>
      <c r="Y72" s="247"/>
      <c r="Z72" s="246"/>
      <c r="AA72" s="247"/>
      <c r="AB72" s="246"/>
      <c r="AC72" s="247"/>
      <c r="AD72" s="246"/>
      <c r="AE72" s="247"/>
      <c r="AF72" s="246"/>
      <c r="AG72" s="247"/>
      <c r="AH72" s="246"/>
      <c r="AI72" s="247"/>
      <c r="AJ72" s="246"/>
      <c r="AK72" s="247"/>
      <c r="AL72" s="246"/>
      <c r="AM72" s="247"/>
      <c r="AN72" s="246"/>
      <c r="AO72" s="247"/>
      <c r="AP72" s="246"/>
      <c r="AQ72" s="247"/>
      <c r="AR72" s="246"/>
      <c r="AS72" s="247"/>
      <c r="AT72" s="246"/>
      <c r="AU72" s="247"/>
      <c r="AV72" s="246"/>
      <c r="AW72" s="247"/>
      <c r="AX72" s="246"/>
      <c r="AY72" s="247"/>
      <c r="AZ72" s="246"/>
      <c r="BA72" s="247"/>
      <c r="BB72" s="246"/>
      <c r="BC72" s="247"/>
      <c r="BD72" s="246"/>
      <c r="BE72" s="247"/>
      <c r="BF72" s="246"/>
      <c r="BG72" s="247"/>
      <c r="BH72" s="246"/>
      <c r="BI72" s="247"/>
      <c r="BJ72" s="248"/>
      <c r="BK72" s="249"/>
    </row>
    <row r="73" spans="1:63" s="257" customFormat="1">
      <c r="A73" s="450" t="s">
        <v>205</v>
      </c>
      <c r="B73" s="450"/>
      <c r="C73" s="250"/>
      <c r="D73" s="251"/>
      <c r="E73" s="252">
        <f t="shared" ref="E73:P73" si="94">SUM(E65:E71)</f>
        <v>98</v>
      </c>
      <c r="F73" s="252">
        <f t="shared" si="94"/>
        <v>166</v>
      </c>
      <c r="G73" s="252">
        <f t="shared" si="94"/>
        <v>166</v>
      </c>
      <c r="H73" s="252">
        <f t="shared" si="94"/>
        <v>166</v>
      </c>
      <c r="I73" s="252">
        <f t="shared" si="94"/>
        <v>166</v>
      </c>
      <c r="J73" s="252">
        <f t="shared" si="94"/>
        <v>166</v>
      </c>
      <c r="K73" s="252">
        <f t="shared" si="94"/>
        <v>166</v>
      </c>
      <c r="L73" s="252">
        <f t="shared" si="94"/>
        <v>166</v>
      </c>
      <c r="M73" s="253">
        <f t="shared" si="94"/>
        <v>171</v>
      </c>
      <c r="N73" s="253">
        <f t="shared" si="94"/>
        <v>157</v>
      </c>
      <c r="O73" s="253">
        <f t="shared" si="94"/>
        <v>157</v>
      </c>
      <c r="P73" s="253">
        <f t="shared" si="94"/>
        <v>161.5</v>
      </c>
      <c r="Q73" s="253">
        <f>SUM(Q64:Q71)</f>
        <v>173.58999999999997</v>
      </c>
      <c r="R73" s="254"/>
      <c r="S73" s="255"/>
      <c r="T73" s="254"/>
      <c r="U73" s="255"/>
      <c r="V73" s="254"/>
      <c r="W73" s="255"/>
      <c r="X73" s="254"/>
      <c r="Y73" s="255"/>
      <c r="Z73" s="254"/>
      <c r="AA73" s="255"/>
      <c r="AB73" s="443"/>
      <c r="AC73" s="256">
        <f>AC69</f>
        <v>1</v>
      </c>
      <c r="AD73" s="443"/>
      <c r="AE73" s="256">
        <f>AE69</f>
        <v>1</v>
      </c>
      <c r="AF73" s="443"/>
      <c r="AG73" s="256">
        <f>AG69</f>
        <v>1</v>
      </c>
      <c r="AH73" s="443">
        <v>161.209</v>
      </c>
      <c r="AI73" s="256">
        <f>AH73/($Q$73-Q68-Q71)</f>
        <v>0.9914452644526448</v>
      </c>
      <c r="AJ73" s="443">
        <v>152.488</v>
      </c>
      <c r="AK73" s="256">
        <f>AJ73/($Q$73-Q68-Q71)</f>
        <v>0.93781057810578128</v>
      </c>
      <c r="AL73" s="443">
        <v>127.05800000000001</v>
      </c>
      <c r="AM73" s="256">
        <f>AL73/($Q$73-$Q$71)</f>
        <v>0.76911622276029068</v>
      </c>
      <c r="AN73" s="443">
        <v>101.18300000000001</v>
      </c>
      <c r="AO73" s="256">
        <f>AN73/($Q$73-$Q$71)</f>
        <v>0.61248789346246979</v>
      </c>
      <c r="AP73" s="443">
        <v>83.031000000000006</v>
      </c>
      <c r="AQ73" s="256">
        <f>AP73/($Q$73-$Q$71)</f>
        <v>0.50260895883777246</v>
      </c>
      <c r="AR73" s="443">
        <v>63.429000000000002</v>
      </c>
      <c r="AS73" s="256">
        <f>AR73/($Q$73-$Q$71)</f>
        <v>0.38395278450363202</v>
      </c>
      <c r="AT73" s="443">
        <v>53.2</v>
      </c>
      <c r="AU73" s="256">
        <f>AT73/($Q73)</f>
        <v>0.30646926666282626</v>
      </c>
      <c r="AV73" s="443">
        <v>48.456000000000003</v>
      </c>
      <c r="AW73" s="256">
        <f>AV73/($Q$73)</f>
        <v>0.27914050348522385</v>
      </c>
      <c r="AX73" s="443">
        <v>44.268999999999998</v>
      </c>
      <c r="AY73" s="256">
        <f>AX73/($Q$73)</f>
        <v>0.25502045048677924</v>
      </c>
      <c r="AZ73" s="443">
        <v>37.631999999999998</v>
      </c>
      <c r="BA73" s="256">
        <f>AZ73/($Q$73-$Q$68)</f>
        <v>0.2200830457921516</v>
      </c>
      <c r="BB73" s="443">
        <v>33.715000000000003</v>
      </c>
      <c r="BC73" s="256">
        <f>BB73/($Q$73-$Q$68)</f>
        <v>0.19717527340780167</v>
      </c>
      <c r="BD73" s="443">
        <v>27.998999999999999</v>
      </c>
      <c r="BE73" s="256">
        <f>BD73/($Q$73-$Q$68)</f>
        <v>0.16374641791917657</v>
      </c>
      <c r="BF73" s="443">
        <f>BF64+BF65+BF66+BF67+BF69+BF70+BF71</f>
        <v>26.512</v>
      </c>
      <c r="BG73" s="256">
        <f>BF73/($Q$73)</f>
        <v>0.15272769168730921</v>
      </c>
      <c r="BH73" s="254"/>
      <c r="BI73" s="255"/>
      <c r="BK73" s="258"/>
    </row>
    <row r="75" spans="1:63">
      <c r="AH75" s="160">
        <f>$AH$73-AH73</f>
        <v>0</v>
      </c>
      <c r="AI75" s="160"/>
      <c r="AJ75" s="160">
        <f>$AH$73-AJ73</f>
        <v>8.7210000000000036</v>
      </c>
      <c r="AK75" s="160"/>
      <c r="AL75" s="160">
        <f>$AH$73-AL73</f>
        <v>34.150999999999996</v>
      </c>
      <c r="AM75" s="160"/>
      <c r="AN75" s="159">
        <f>$AH$73-AN73</f>
        <v>60.025999999999996</v>
      </c>
      <c r="AO75" s="160"/>
      <c r="AP75" s="160">
        <f>$AH$73-AP73</f>
        <v>78.177999999999997</v>
      </c>
      <c r="AQ75" s="160"/>
      <c r="AR75" s="160">
        <f>$AH$73-AR73</f>
        <v>97.78</v>
      </c>
      <c r="AS75" s="160"/>
      <c r="AT75" s="160">
        <f>$AH$73-AT73</f>
        <v>108.009</v>
      </c>
      <c r="AU75" s="160"/>
      <c r="AV75" s="160">
        <f>$AH$73-AV73</f>
        <v>112.753</v>
      </c>
      <c r="AW75" s="160"/>
      <c r="AX75" s="160">
        <f>$AH$73-AX73</f>
        <v>116.94</v>
      </c>
      <c r="AY75" s="160"/>
      <c r="AZ75" s="159">
        <f>$AH$73-AZ73</f>
        <v>123.577</v>
      </c>
      <c r="BA75" s="160"/>
      <c r="BB75" s="160">
        <f>$AH$73-BB73</f>
        <v>127.494</v>
      </c>
      <c r="BC75" s="160"/>
      <c r="BD75" s="160">
        <f>$AH$73-BD73</f>
        <v>133.21</v>
      </c>
      <c r="BE75" s="160"/>
      <c r="BF75" s="160">
        <f>$AH$73-BF73</f>
        <v>134.697</v>
      </c>
      <c r="BG75" s="160"/>
      <c r="BH75" s="160">
        <f>$AH$73-BH73</f>
        <v>161.209</v>
      </c>
      <c r="BJ75" s="154" t="s">
        <v>207</v>
      </c>
    </row>
    <row r="76" spans="1:63">
      <c r="AJ76" s="159"/>
      <c r="AK76" s="159"/>
      <c r="AL76" s="159"/>
      <c r="AM76" s="159"/>
      <c r="AN76" s="159">
        <f>AH73-AN73</f>
        <v>60.025999999999996</v>
      </c>
      <c r="AO76" s="159"/>
      <c r="AP76" s="159"/>
      <c r="AQ76" s="159"/>
      <c r="AR76" s="159"/>
      <c r="AS76" s="159"/>
      <c r="AT76" s="159">
        <f>AN73-AT73</f>
        <v>47.983000000000004</v>
      </c>
      <c r="AU76" s="159"/>
      <c r="AV76" s="159"/>
      <c r="AW76" s="159"/>
      <c r="AX76" s="159"/>
      <c r="AY76" s="159"/>
      <c r="AZ76" s="159">
        <f>AT73-AZ73</f>
        <v>15.568000000000005</v>
      </c>
      <c r="BA76" s="159"/>
      <c r="BB76" s="159"/>
      <c r="BC76" s="159"/>
      <c r="BD76" s="159"/>
      <c r="BE76" s="159"/>
      <c r="BF76" s="159">
        <f>AZ73-BF73</f>
        <v>11.119999999999997</v>
      </c>
      <c r="BG76" s="159"/>
      <c r="BJ76" s="154" t="s">
        <v>158</v>
      </c>
    </row>
    <row r="77" spans="1:63">
      <c r="AV77" s="259"/>
    </row>
    <row r="78" spans="1:63">
      <c r="BJ78" s="260"/>
    </row>
    <row r="88" spans="2:2">
      <c r="B88" t="s">
        <v>395</v>
      </c>
    </row>
    <row r="122" spans="63:63">
      <c r="BK122" s="12" t="s">
        <v>208</v>
      </c>
    </row>
  </sheetData>
  <mergeCells count="6">
    <mergeCell ref="A73:B73"/>
    <mergeCell ref="A14:B14"/>
    <mergeCell ref="A31:B31"/>
    <mergeCell ref="A43:B43"/>
    <mergeCell ref="A58:B58"/>
    <mergeCell ref="A60:B6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6"/>
  <sheetViews>
    <sheetView zoomScaleNormal="100" workbookViewId="0"/>
  </sheetViews>
  <sheetFormatPr baseColWidth="10" defaultColWidth="13.7109375" defaultRowHeight="12.75"/>
  <cols>
    <col min="1" max="1" width="30.42578125" customWidth="1"/>
    <col min="2" max="2" width="9.28515625" style="9" customWidth="1"/>
  </cols>
  <sheetData>
    <row r="1" spans="1:4">
      <c r="A1" s="14" t="s">
        <v>20</v>
      </c>
      <c r="B1" s="14" t="s">
        <v>21</v>
      </c>
      <c r="C1" t="s">
        <v>396</v>
      </c>
      <c r="D1" t="s">
        <v>397</v>
      </c>
    </row>
    <row r="2" spans="1:4">
      <c r="A2" s="26" t="s">
        <v>40</v>
      </c>
      <c r="B2" s="27">
        <v>16</v>
      </c>
      <c r="C2" t="s">
        <v>398</v>
      </c>
    </row>
    <row r="3" spans="1:4">
      <c r="A3" s="38" t="s">
        <v>99</v>
      </c>
      <c r="B3" s="39">
        <v>28</v>
      </c>
      <c r="C3" t="s">
        <v>399</v>
      </c>
    </row>
    <row r="4" spans="1:4">
      <c r="A4" s="38" t="s">
        <v>43</v>
      </c>
      <c r="B4" s="39">
        <v>22</v>
      </c>
      <c r="C4" t="s">
        <v>400</v>
      </c>
    </row>
    <row r="5" spans="1:4">
      <c r="A5" s="38" t="s">
        <v>45</v>
      </c>
      <c r="B5" s="39">
        <v>19</v>
      </c>
      <c r="C5" t="s">
        <v>401</v>
      </c>
    </row>
    <row r="6" spans="1:4">
      <c r="A6" s="38" t="s">
        <v>73</v>
      </c>
      <c r="B6" s="39">
        <v>9</v>
      </c>
      <c r="C6" t="s">
        <v>402</v>
      </c>
    </row>
    <row r="7" spans="1:4">
      <c r="A7" s="38" t="s">
        <v>125</v>
      </c>
      <c r="B7" s="39">
        <v>10</v>
      </c>
      <c r="C7" t="s">
        <v>403</v>
      </c>
    </row>
    <row r="8" spans="1:4">
      <c r="A8" s="38" t="s">
        <v>107</v>
      </c>
      <c r="B8" s="39">
        <v>32</v>
      </c>
      <c r="C8" t="s">
        <v>404</v>
      </c>
    </row>
    <row r="9" spans="1:4">
      <c r="A9" s="38" t="s">
        <v>76</v>
      </c>
      <c r="B9" s="39">
        <v>23</v>
      </c>
      <c r="C9" t="s">
        <v>405</v>
      </c>
    </row>
    <row r="10" spans="1:4">
      <c r="A10" s="38" t="s">
        <v>48</v>
      </c>
      <c r="B10" s="39">
        <v>44</v>
      </c>
      <c r="C10" t="s">
        <v>406</v>
      </c>
    </row>
    <row r="11" spans="1:4">
      <c r="A11" s="38" t="s">
        <v>129</v>
      </c>
      <c r="B11" s="39">
        <v>8</v>
      </c>
      <c r="C11" t="s">
        <v>407</v>
      </c>
    </row>
    <row r="12" spans="1:4">
      <c r="A12" s="38" t="s">
        <v>121</v>
      </c>
      <c r="B12" s="39">
        <v>3</v>
      </c>
      <c r="C12" t="s">
        <v>408</v>
      </c>
    </row>
    <row r="13" spans="1:4">
      <c r="A13" s="52" t="s">
        <v>60</v>
      </c>
      <c r="B13" s="53">
        <v>62</v>
      </c>
      <c r="C13" t="s">
        <v>409</v>
      </c>
    </row>
    <row r="14" spans="1:4">
      <c r="A14" s="38" t="s">
        <v>58</v>
      </c>
      <c r="B14" s="39">
        <v>26</v>
      </c>
      <c r="C14" t="s">
        <v>410</v>
      </c>
    </row>
    <row r="15" spans="1:4">
      <c r="A15" s="175" t="s">
        <v>179</v>
      </c>
      <c r="B15" s="176">
        <v>37</v>
      </c>
      <c r="C15" t="s">
        <v>411</v>
      </c>
    </row>
    <row r="16" spans="1:4">
      <c r="A16" s="38" t="s">
        <v>78</v>
      </c>
      <c r="B16" s="39">
        <v>13</v>
      </c>
      <c r="C16" t="s">
        <v>412</v>
      </c>
    </row>
    <row r="17" spans="1:3">
      <c r="A17" s="38" t="s">
        <v>151</v>
      </c>
      <c r="B17" s="39" t="s">
        <v>152</v>
      </c>
      <c r="C17" t="s">
        <v>413</v>
      </c>
    </row>
    <row r="18" spans="1:3">
      <c r="A18" s="38" t="s">
        <v>81</v>
      </c>
      <c r="B18" s="39">
        <v>14</v>
      </c>
      <c r="C18" t="s">
        <v>414</v>
      </c>
    </row>
    <row r="19" spans="1:3">
      <c r="A19" s="38" t="s">
        <v>145</v>
      </c>
      <c r="B19" s="39" t="s">
        <v>146</v>
      </c>
      <c r="C19" t="s">
        <v>415</v>
      </c>
    </row>
    <row r="20" spans="1:3">
      <c r="A20" s="38" t="s">
        <v>50</v>
      </c>
      <c r="B20" s="39">
        <v>49</v>
      </c>
      <c r="C20" t="s">
        <v>416</v>
      </c>
    </row>
    <row r="21" spans="1:3">
      <c r="A21" s="38" t="s">
        <v>52</v>
      </c>
      <c r="B21" s="39">
        <v>48</v>
      </c>
      <c r="C21" t="s">
        <v>417</v>
      </c>
    </row>
    <row r="22" spans="1:3">
      <c r="A22" s="38" t="s">
        <v>132</v>
      </c>
      <c r="B22" s="39">
        <v>35</v>
      </c>
      <c r="C22" t="s">
        <v>418</v>
      </c>
    </row>
    <row r="23" spans="1:3">
      <c r="A23" s="38" t="s">
        <v>84</v>
      </c>
      <c r="B23" s="39">
        <v>42</v>
      </c>
      <c r="C23" t="s">
        <v>419</v>
      </c>
    </row>
    <row r="24" spans="1:3">
      <c r="A24" s="38" t="s">
        <v>105</v>
      </c>
      <c r="B24" s="39">
        <v>27</v>
      </c>
      <c r="C24" t="s">
        <v>420</v>
      </c>
    </row>
    <row r="25" spans="1:3">
      <c r="A25" s="38" t="s">
        <v>134</v>
      </c>
      <c r="B25" s="39">
        <v>6</v>
      </c>
      <c r="C25" t="s">
        <v>421</v>
      </c>
    </row>
    <row r="26" spans="1:3">
      <c r="A26" s="196" t="s">
        <v>191</v>
      </c>
      <c r="B26" s="197">
        <v>61</v>
      </c>
      <c r="C26" t="s">
        <v>422</v>
      </c>
    </row>
    <row r="27" spans="1:3">
      <c r="A27" s="38" t="s">
        <v>54</v>
      </c>
      <c r="B27" s="39">
        <v>18</v>
      </c>
      <c r="C27" t="s">
        <v>423</v>
      </c>
    </row>
    <row r="28" spans="1:3">
      <c r="A28" s="196" t="s">
        <v>198</v>
      </c>
      <c r="B28" s="197">
        <v>41</v>
      </c>
    </row>
    <row r="29" spans="1:3">
      <c r="A29" s="38" t="s">
        <v>101</v>
      </c>
      <c r="B29" s="39">
        <v>43</v>
      </c>
      <c r="C29" t="s">
        <v>424</v>
      </c>
    </row>
    <row r="30" spans="1:3">
      <c r="A30" s="38" t="s">
        <v>87</v>
      </c>
      <c r="B30" s="39">
        <v>30</v>
      </c>
      <c r="C30" t="s">
        <v>425</v>
      </c>
    </row>
    <row r="31" spans="1:3">
      <c r="A31" s="38" t="s">
        <v>56</v>
      </c>
      <c r="B31" s="39">
        <v>39</v>
      </c>
      <c r="C31" t="s">
        <v>426</v>
      </c>
    </row>
    <row r="32" spans="1:3">
      <c r="A32" s="225" t="s">
        <v>202</v>
      </c>
      <c r="B32" s="226">
        <v>45</v>
      </c>
      <c r="C32" t="s">
        <v>427</v>
      </c>
    </row>
    <row r="33" spans="1:4">
      <c r="A33" s="38" t="s">
        <v>88</v>
      </c>
      <c r="B33" s="39">
        <v>11</v>
      </c>
      <c r="C33" t="s">
        <v>428</v>
      </c>
    </row>
    <row r="34" spans="1:4">
      <c r="A34" s="84" t="s">
        <v>66</v>
      </c>
      <c r="B34" s="85">
        <v>1</v>
      </c>
      <c r="D34" t="s">
        <v>429</v>
      </c>
    </row>
    <row r="35" spans="1:4">
      <c r="A35" s="38" t="s">
        <v>89</v>
      </c>
      <c r="B35" s="39">
        <v>24</v>
      </c>
      <c r="C35" t="s">
        <v>430</v>
      </c>
    </row>
    <row r="36" spans="1:4">
      <c r="A36" s="38" t="s">
        <v>103</v>
      </c>
      <c r="B36" s="39">
        <v>47</v>
      </c>
      <c r="C36" t="s">
        <v>431</v>
      </c>
    </row>
    <row r="37" spans="1:4">
      <c r="A37" s="38" t="s">
        <v>57</v>
      </c>
      <c r="B37" s="39">
        <v>17</v>
      </c>
      <c r="C37" t="s">
        <v>432</v>
      </c>
    </row>
    <row r="38" spans="1:4">
      <c r="A38" s="38" t="s">
        <v>116</v>
      </c>
      <c r="B38" s="39" t="s">
        <v>117</v>
      </c>
      <c r="C38" t="s">
        <v>433</v>
      </c>
    </row>
    <row r="39" spans="1:4">
      <c r="A39" s="38" t="s">
        <v>69</v>
      </c>
      <c r="B39" s="39">
        <v>2</v>
      </c>
      <c r="C39" t="s">
        <v>434</v>
      </c>
    </row>
    <row r="40" spans="1:4">
      <c r="A40" s="38" t="s">
        <v>109</v>
      </c>
      <c r="B40" s="39">
        <v>25</v>
      </c>
      <c r="C40" t="s">
        <v>435</v>
      </c>
    </row>
    <row r="41" spans="1:4">
      <c r="A41" s="38" t="s">
        <v>90</v>
      </c>
      <c r="B41" s="39">
        <v>12</v>
      </c>
      <c r="C41" t="s">
        <v>436</v>
      </c>
    </row>
    <row r="42" spans="1:4">
      <c r="A42" s="38" t="s">
        <v>93</v>
      </c>
      <c r="B42" s="39">
        <v>38</v>
      </c>
      <c r="C42" t="s">
        <v>437</v>
      </c>
    </row>
    <row r="43" spans="1:4">
      <c r="A43" s="196" t="s">
        <v>196</v>
      </c>
      <c r="B43" s="197">
        <v>36</v>
      </c>
    </row>
    <row r="44" spans="1:4">
      <c r="A44" s="196" t="s">
        <v>188</v>
      </c>
      <c r="B44" s="197">
        <v>60</v>
      </c>
      <c r="C44" t="s">
        <v>438</v>
      </c>
    </row>
    <row r="45" spans="1:4">
      <c r="A45" s="38" t="s">
        <v>110</v>
      </c>
      <c r="B45" s="39">
        <v>29</v>
      </c>
      <c r="C45" t="s">
        <v>439</v>
      </c>
    </row>
    <row r="46" spans="1:4">
      <c r="A46" s="38" t="s">
        <v>136</v>
      </c>
      <c r="B46" s="39">
        <v>7</v>
      </c>
      <c r="C46" t="s">
        <v>440</v>
      </c>
    </row>
    <row r="47" spans="1:4">
      <c r="A47" s="38" t="s">
        <v>96</v>
      </c>
      <c r="B47" s="39">
        <v>34</v>
      </c>
      <c r="C47" t="s">
        <v>441</v>
      </c>
    </row>
    <row r="48" spans="1:4">
      <c r="A48" s="38" t="s">
        <v>139</v>
      </c>
      <c r="B48" s="39">
        <v>33</v>
      </c>
      <c r="C48" t="s">
        <v>442</v>
      </c>
    </row>
    <row r="49" spans="1:3">
      <c r="A49" s="38" t="s">
        <v>112</v>
      </c>
      <c r="B49" s="39">
        <v>15</v>
      </c>
      <c r="C49" t="s">
        <v>443</v>
      </c>
    </row>
    <row r="50" spans="1:3">
      <c r="A50" s="38" t="s">
        <v>142</v>
      </c>
      <c r="B50" s="39">
        <v>4</v>
      </c>
      <c r="C50" t="s">
        <v>444</v>
      </c>
    </row>
    <row r="51" spans="1:3">
      <c r="A51" s="52" t="s">
        <v>62</v>
      </c>
      <c r="B51" s="53">
        <v>21</v>
      </c>
      <c r="C51" t="s">
        <v>445</v>
      </c>
    </row>
    <row r="52" spans="1:3">
      <c r="A52" s="38" t="s">
        <v>114</v>
      </c>
      <c r="B52" s="39">
        <v>46</v>
      </c>
      <c r="C52" t="s">
        <v>446</v>
      </c>
    </row>
    <row r="53" spans="1:3">
      <c r="A53" s="196" t="s">
        <v>184</v>
      </c>
      <c r="B53" s="197">
        <v>40</v>
      </c>
      <c r="C53" t="s">
        <v>447</v>
      </c>
    </row>
    <row r="54" spans="1:3">
      <c r="A54" s="38" t="s">
        <v>149</v>
      </c>
      <c r="B54" s="39" t="s">
        <v>150</v>
      </c>
      <c r="C54" t="s">
        <v>448</v>
      </c>
    </row>
    <row r="55" spans="1:3">
      <c r="A55" s="175" t="s">
        <v>174</v>
      </c>
      <c r="B55" s="176" t="s">
        <v>175</v>
      </c>
      <c r="C55" t="s">
        <v>449</v>
      </c>
    </row>
    <row r="56" spans="1:3">
      <c r="A56" s="38" t="s">
        <v>144</v>
      </c>
      <c r="B56" s="39">
        <v>5</v>
      </c>
      <c r="C56" t="s">
        <v>450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"/>
  <sheetViews>
    <sheetView zoomScaleNormal="100" workbookViewId="0">
      <selection activeCell="N4" sqref="N4"/>
    </sheetView>
  </sheetViews>
  <sheetFormatPr baseColWidth="10" defaultColWidth="12.140625" defaultRowHeight="12.75"/>
  <cols>
    <col min="1" max="1" width="27.42578125" customWidth="1"/>
  </cols>
  <sheetData>
    <row r="1" spans="1:15">
      <c r="B1" s="170">
        <v>45108</v>
      </c>
      <c r="C1" s="170">
        <v>45117</v>
      </c>
      <c r="D1" s="170">
        <v>45127</v>
      </c>
      <c r="E1" s="171">
        <v>45139</v>
      </c>
      <c r="F1" s="171">
        <v>45148</v>
      </c>
      <c r="G1" s="171">
        <v>45158</v>
      </c>
      <c r="H1" s="171">
        <v>45170</v>
      </c>
      <c r="I1" s="171">
        <v>45179</v>
      </c>
      <c r="J1" s="171">
        <v>45189</v>
      </c>
      <c r="K1" s="171">
        <v>45200</v>
      </c>
      <c r="L1" s="171">
        <v>45209</v>
      </c>
      <c r="M1" s="171">
        <v>45219</v>
      </c>
      <c r="N1" s="171">
        <v>45231</v>
      </c>
      <c r="O1" s="171">
        <v>45261</v>
      </c>
    </row>
    <row r="2" spans="1:15" ht="38.25">
      <c r="A2" s="114" t="s">
        <v>451</v>
      </c>
      <c r="B2">
        <v>0</v>
      </c>
      <c r="C2">
        <v>0</v>
      </c>
      <c r="D2">
        <v>8.5000000000000006E-2</v>
      </c>
      <c r="E2">
        <v>3.157</v>
      </c>
      <c r="F2">
        <v>4.2610000000000001</v>
      </c>
      <c r="G2">
        <v>10.254</v>
      </c>
      <c r="H2">
        <v>17.584</v>
      </c>
      <c r="I2">
        <v>24.748000000000001</v>
      </c>
      <c r="J2">
        <v>28.664000000000001</v>
      </c>
      <c r="K2">
        <v>32.954999999999998</v>
      </c>
      <c r="L2">
        <v>32.954999999999998</v>
      </c>
      <c r="M2">
        <v>32.954999999999998</v>
      </c>
      <c r="N2">
        <v>32.954999999999998</v>
      </c>
    </row>
    <row r="3" spans="1:15" ht="25.5">
      <c r="A3" s="114" t="s">
        <v>452</v>
      </c>
      <c r="B3">
        <v>0</v>
      </c>
      <c r="C3">
        <v>0</v>
      </c>
      <c r="D3">
        <v>0</v>
      </c>
      <c r="E3">
        <v>0.19800000000000001</v>
      </c>
      <c r="F3">
        <v>0.28199999999999997</v>
      </c>
      <c r="G3">
        <v>3.3370000000000002</v>
      </c>
      <c r="H3">
        <v>9.1120000000000001</v>
      </c>
      <c r="I3">
        <v>14.721</v>
      </c>
      <c r="J3">
        <v>17.547000000000001</v>
      </c>
      <c r="K3">
        <v>19.100000000000001</v>
      </c>
      <c r="L3">
        <v>22.036999999999999</v>
      </c>
      <c r="M3">
        <v>28.776</v>
      </c>
      <c r="N3">
        <v>31.713999999999999</v>
      </c>
    </row>
    <row r="4" spans="1:15" ht="38.25">
      <c r="A4" s="114" t="s">
        <v>453</v>
      </c>
      <c r="B4">
        <f t="shared" ref="B4:O4" si="0">IF(ISBLANK(B2),"",B2-B3)</f>
        <v>0</v>
      </c>
      <c r="C4">
        <f t="shared" si="0"/>
        <v>0</v>
      </c>
      <c r="D4">
        <f t="shared" si="0"/>
        <v>8.5000000000000006E-2</v>
      </c>
      <c r="E4">
        <f t="shared" si="0"/>
        <v>2.9590000000000001</v>
      </c>
      <c r="F4">
        <f t="shared" si="0"/>
        <v>3.9790000000000001</v>
      </c>
      <c r="G4">
        <f t="shared" si="0"/>
        <v>6.9169999999999998</v>
      </c>
      <c r="H4">
        <f t="shared" si="0"/>
        <v>8.4719999999999995</v>
      </c>
      <c r="I4">
        <f t="shared" si="0"/>
        <v>10.027000000000001</v>
      </c>
      <c r="J4">
        <f t="shared" si="0"/>
        <v>11.117000000000001</v>
      </c>
      <c r="K4">
        <f t="shared" si="0"/>
        <v>13.854999999999997</v>
      </c>
      <c r="L4">
        <f t="shared" si="0"/>
        <v>10.917999999999999</v>
      </c>
      <c r="M4">
        <f t="shared" si="0"/>
        <v>4.1789999999999985</v>
      </c>
      <c r="N4">
        <f t="shared" si="0"/>
        <v>1.2409999999999997</v>
      </c>
      <c r="O4" t="str">
        <f t="shared" si="0"/>
        <v/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Lisez-moi</vt:lpstr>
      <vt:lpstr>Réserves 2023</vt:lpstr>
      <vt:lpstr>Graphiques</vt:lpstr>
      <vt:lpstr>Bilan_BSH</vt:lpstr>
      <vt:lpstr>Cartographie</vt:lpstr>
      <vt:lpstr>Réserves 2022</vt:lpstr>
      <vt:lpstr>Correspondance CODE</vt:lpstr>
      <vt:lpstr>suivi_droits_acquis_Entraygues</vt:lpstr>
      <vt:lpstr>'Réserves 2022'!Excel_BuiltIn__FilterDatabase</vt:lpstr>
      <vt:lpstr>'Réserves 2023'!Excel_BuiltIn__FilterDatabase</vt:lpstr>
      <vt:lpstr>'Réserves 2022'!Zone_d_impression</vt:lpstr>
      <vt:lpstr>'Réserves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SEGARD Louise-Adelie</cp:lastModifiedBy>
  <cp:revision>26</cp:revision>
  <dcterms:created xsi:type="dcterms:W3CDTF">2023-10-13T16:32:54Z</dcterms:created>
  <dcterms:modified xsi:type="dcterms:W3CDTF">2024-01-29T10:10:51Z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