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REAL\5-Ecologie\DBAG\08_GQ\15_Gestion_crise\00_BAG\01_BSH\04_Carto\Barrages\"/>
    </mc:Choice>
  </mc:AlternateContent>
  <xr:revisionPtr revIDLastSave="0" documentId="13_ncr:1_{3B04AC8B-AD42-4355-884C-3EEBFD10FFFA}" xr6:coauthVersionLast="47" xr6:coauthVersionMax="47" xr10:uidLastSave="{00000000-0000-0000-0000-000000000000}"/>
  <bookViews>
    <workbookView xWindow="-110" yWindow="-110" windowWidth="19420" windowHeight="10300" tabRatio="1000" firstSheet="1" activeTab="1" xr2:uid="{00000000-000D-0000-FFFF-FFFF00000000}"/>
  </bookViews>
  <sheets>
    <sheet name="Lisez-moi" sheetId="1" r:id="rId1"/>
    <sheet name="Réserves 2024" sheetId="2" r:id="rId2"/>
    <sheet name="Bilan_BSH" sheetId="4" r:id="rId3"/>
    <sheet name="Cartographie" sheetId="5" r:id="rId4"/>
    <sheet name="Réserves 2023" sheetId="6" r:id="rId5"/>
    <sheet name="Correspondance CODE" sheetId="7" r:id="rId6"/>
    <sheet name="suivi_droits_acquis_Entraygues" sheetId="8" r:id="rId7"/>
  </sheets>
  <definedNames>
    <definedName name="_xlnm._FilterDatabase" localSheetId="1" hidden="1">'Réserves 2024'!$A$1:$BP$1</definedName>
    <definedName name="Excel_BuiltIn__FilterDatabase" localSheetId="4">'Réserves 2023'!#REF!</definedName>
    <definedName name="Excel_BuiltIn__FilterDatabase" localSheetId="1">'Réserves 2024'!$A$1:$BM$14</definedName>
    <definedName name="_xlnm.Print_Area" localSheetId="4">'Réserves 2023'!#REF!</definedName>
    <definedName name="_xlnm.Print_Area" localSheetId="1">'Réserves 2024'!$A$1:$BL$73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6" i="2" l="1"/>
  <c r="BI70" i="2"/>
  <c r="BI71" i="2"/>
  <c r="BI64" i="2"/>
  <c r="BH65" i="2"/>
  <c r="BI65" i="2" s="1"/>
  <c r="BH66" i="2"/>
  <c r="BI66" i="2" s="1"/>
  <c r="BI67" i="2"/>
  <c r="BI69" i="2"/>
  <c r="BF66" i="2"/>
  <c r="BD66" i="2"/>
  <c r="BB66" i="2"/>
  <c r="BH16" i="2"/>
  <c r="BF16" i="2"/>
  <c r="BD16" i="2" l="1"/>
  <c r="BB16" i="2"/>
  <c r="AZ66" i="2"/>
  <c r="AZ16" i="2" l="1"/>
  <c r="AX16" i="2"/>
  <c r="AV16" i="2" l="1"/>
  <c r="AT16" i="2" l="1"/>
  <c r="AR16" i="2"/>
  <c r="AY68" i="2"/>
  <c r="AW68" i="2"/>
  <c r="AU68" i="2"/>
  <c r="AS68" i="2"/>
  <c r="AQ68" i="2"/>
  <c r="AO68" i="2"/>
  <c r="AU71" i="2"/>
  <c r="AT29" i="2"/>
  <c r="BE65" i="2" l="1"/>
  <c r="BC65" i="2"/>
  <c r="AQ65" i="2"/>
  <c r="AO65" i="2"/>
  <c r="AM65" i="2"/>
  <c r="AK65" i="2"/>
  <c r="BF65" i="2"/>
  <c r="BG65" i="2" s="1"/>
  <c r="BD65" i="2"/>
  <c r="BB65" i="2"/>
  <c r="AZ65" i="2"/>
  <c r="BA65" i="2" s="1"/>
  <c r="AX65" i="2"/>
  <c r="AY65" i="2" s="1"/>
  <c r="AV65" i="2"/>
  <c r="AW65" i="2" s="1"/>
  <c r="AT65" i="2"/>
  <c r="AU65" i="2" s="1"/>
  <c r="AR65" i="2"/>
  <c r="AP65" i="2"/>
  <c r="AN65" i="2"/>
  <c r="AL65" i="2"/>
  <c r="AJ65" i="2"/>
  <c r="AS65" i="2" l="1"/>
  <c r="AR73" i="2"/>
  <c r="S65" i="2"/>
  <c r="U114" i="4"/>
  <c r="U112" i="4"/>
  <c r="U111" i="4"/>
  <c r="U110" i="4"/>
  <c r="U109" i="4"/>
  <c r="U108" i="4"/>
  <c r="U107" i="4"/>
  <c r="U106" i="4"/>
  <c r="T112" i="4"/>
  <c r="T111" i="4"/>
  <c r="T110" i="4"/>
  <c r="T109" i="4"/>
  <c r="T108" i="4"/>
  <c r="T107" i="4"/>
  <c r="T106" i="4"/>
  <c r="T114" i="4"/>
  <c r="U105" i="4"/>
  <c r="T105" i="4"/>
  <c r="AO99" i="4"/>
  <c r="AO97" i="4"/>
  <c r="AO96" i="4"/>
  <c r="AO95" i="4"/>
  <c r="AO94" i="4"/>
  <c r="AO93" i="4"/>
  <c r="AO92" i="4"/>
  <c r="AO91" i="4"/>
  <c r="AO90" i="4"/>
  <c r="AN99" i="4"/>
  <c r="AN97" i="4"/>
  <c r="AN96" i="4"/>
  <c r="AN95" i="4"/>
  <c r="AN94" i="4"/>
  <c r="AN93" i="4"/>
  <c r="AN92" i="4"/>
  <c r="AN91" i="4"/>
  <c r="AN90" i="4"/>
  <c r="AE99" i="4"/>
  <c r="AE97" i="4"/>
  <c r="AE96" i="4"/>
  <c r="AE95" i="4"/>
  <c r="AE94" i="4"/>
  <c r="AE93" i="4"/>
  <c r="AE92" i="4"/>
  <c r="AE91" i="4"/>
  <c r="AE90" i="4"/>
  <c r="AD99" i="4"/>
  <c r="AD97" i="4"/>
  <c r="AD96" i="4"/>
  <c r="AD95" i="4"/>
  <c r="AD94" i="4"/>
  <c r="AD93" i="4"/>
  <c r="AD92" i="4"/>
  <c r="AD91" i="4"/>
  <c r="AD90" i="4"/>
  <c r="U99" i="4"/>
  <c r="U97" i="4"/>
  <c r="U96" i="4"/>
  <c r="U95" i="4"/>
  <c r="U94" i="4"/>
  <c r="U93" i="4"/>
  <c r="U92" i="4"/>
  <c r="U91" i="4"/>
  <c r="U90" i="4"/>
  <c r="T99" i="4"/>
  <c r="T97" i="4"/>
  <c r="T96" i="4"/>
  <c r="T95" i="4"/>
  <c r="T94" i="4"/>
  <c r="T93" i="4"/>
  <c r="T92" i="4"/>
  <c r="T91" i="4"/>
  <c r="T90" i="4"/>
  <c r="AO85" i="4"/>
  <c r="AO83" i="4"/>
  <c r="AO82" i="4"/>
  <c r="AO81" i="4"/>
  <c r="AO80" i="4"/>
  <c r="AO79" i="4"/>
  <c r="AO78" i="4"/>
  <c r="AO77" i="4"/>
  <c r="AO76" i="4"/>
  <c r="AN85" i="4"/>
  <c r="AN83" i="4"/>
  <c r="AN82" i="4"/>
  <c r="AN81" i="4"/>
  <c r="AN80" i="4"/>
  <c r="AN79" i="4"/>
  <c r="AN78" i="4"/>
  <c r="AN77" i="4"/>
  <c r="AN76" i="4"/>
  <c r="AE85" i="4"/>
  <c r="AE83" i="4"/>
  <c r="AE82" i="4"/>
  <c r="AE81" i="4"/>
  <c r="AE80" i="4"/>
  <c r="AE79" i="4"/>
  <c r="AE78" i="4"/>
  <c r="AE77" i="4"/>
  <c r="AD85" i="4"/>
  <c r="AD83" i="4"/>
  <c r="AD82" i="4"/>
  <c r="AD81" i="4"/>
  <c r="AD80" i="4"/>
  <c r="AD79" i="4"/>
  <c r="AD78" i="4"/>
  <c r="AD77" i="4"/>
  <c r="AE76" i="4"/>
  <c r="AD76" i="4"/>
  <c r="U85" i="4"/>
  <c r="U83" i="4"/>
  <c r="U82" i="4"/>
  <c r="U81" i="4"/>
  <c r="U80" i="4"/>
  <c r="U79" i="4"/>
  <c r="U78" i="4"/>
  <c r="U77" i="4"/>
  <c r="T85" i="4"/>
  <c r="T83" i="4"/>
  <c r="T82" i="4"/>
  <c r="T81" i="4"/>
  <c r="T80" i="4"/>
  <c r="T79" i="4"/>
  <c r="T78" i="4"/>
  <c r="T77" i="4"/>
  <c r="U76" i="4"/>
  <c r="T76" i="4"/>
  <c r="AO71" i="4"/>
  <c r="AN71" i="4"/>
  <c r="AN69" i="4"/>
  <c r="AN68" i="4"/>
  <c r="AN67" i="4"/>
  <c r="AN66" i="4"/>
  <c r="AN65" i="4"/>
  <c r="AN64" i="4"/>
  <c r="AN63" i="4"/>
  <c r="AN62" i="4"/>
  <c r="AO69" i="4"/>
  <c r="AO68" i="4"/>
  <c r="AO67" i="4"/>
  <c r="AO66" i="4"/>
  <c r="AO65" i="4"/>
  <c r="AO64" i="4"/>
  <c r="AO63" i="4"/>
  <c r="AO62" i="4"/>
  <c r="AD71" i="4"/>
  <c r="AE71" i="4"/>
  <c r="AE69" i="4"/>
  <c r="AE68" i="4"/>
  <c r="AE67" i="4"/>
  <c r="AE66" i="4"/>
  <c r="AE65" i="4"/>
  <c r="AE64" i="4"/>
  <c r="AE63" i="4"/>
  <c r="AE62" i="4"/>
  <c r="AD69" i="4"/>
  <c r="AD68" i="4"/>
  <c r="AD67" i="4"/>
  <c r="AD66" i="4"/>
  <c r="AD65" i="4"/>
  <c r="AD64" i="4"/>
  <c r="AD63" i="4"/>
  <c r="AD62" i="4"/>
  <c r="U71" i="4"/>
  <c r="U69" i="4"/>
  <c r="U68" i="4"/>
  <c r="U67" i="4"/>
  <c r="U66" i="4"/>
  <c r="U65" i="4"/>
  <c r="U64" i="4"/>
  <c r="U63" i="4"/>
  <c r="U62" i="4"/>
  <c r="T71" i="4"/>
  <c r="T69" i="4"/>
  <c r="T68" i="4"/>
  <c r="T67" i="4"/>
  <c r="T66" i="4"/>
  <c r="T65" i="4"/>
  <c r="T64" i="4"/>
  <c r="T63" i="4"/>
  <c r="T62" i="4"/>
  <c r="AO57" i="4"/>
  <c r="AO55" i="4"/>
  <c r="AO54" i="4"/>
  <c r="AO53" i="4"/>
  <c r="AO52" i="4"/>
  <c r="AO51" i="4"/>
  <c r="AO50" i="4"/>
  <c r="AO49" i="4"/>
  <c r="AO48" i="4"/>
  <c r="AN57" i="4"/>
  <c r="AN55" i="4"/>
  <c r="AN54" i="4"/>
  <c r="AN53" i="4"/>
  <c r="AN52" i="4"/>
  <c r="AN51" i="4"/>
  <c r="AN50" i="4"/>
  <c r="AN49" i="4"/>
  <c r="AN48" i="4"/>
  <c r="AE57" i="4"/>
  <c r="AE55" i="4"/>
  <c r="AE54" i="4"/>
  <c r="AE53" i="4"/>
  <c r="AE52" i="4"/>
  <c r="AE51" i="4"/>
  <c r="AE50" i="4"/>
  <c r="AE49" i="4"/>
  <c r="AE48" i="4"/>
  <c r="AD57" i="4"/>
  <c r="AD55" i="4"/>
  <c r="AD54" i="4"/>
  <c r="AD53" i="4"/>
  <c r="AD52" i="4"/>
  <c r="AD51" i="4"/>
  <c r="AD50" i="4"/>
  <c r="AD49" i="4"/>
  <c r="AD48" i="4"/>
  <c r="U57" i="4"/>
  <c r="U55" i="4"/>
  <c r="U54" i="4"/>
  <c r="U53" i="4"/>
  <c r="U52" i="4"/>
  <c r="U51" i="4"/>
  <c r="U50" i="4"/>
  <c r="U49" i="4"/>
  <c r="U48" i="4"/>
  <c r="T57" i="4"/>
  <c r="T55" i="4"/>
  <c r="T54" i="4"/>
  <c r="T53" i="4"/>
  <c r="T52" i="4"/>
  <c r="T51" i="4"/>
  <c r="T50" i="4"/>
  <c r="T49" i="4"/>
  <c r="T48" i="4"/>
  <c r="AO43" i="4"/>
  <c r="AO41" i="4"/>
  <c r="AO40" i="4"/>
  <c r="AO39" i="4"/>
  <c r="AO38" i="4"/>
  <c r="AO37" i="4"/>
  <c r="AO36" i="4"/>
  <c r="AO35" i="4"/>
  <c r="AO34" i="4"/>
  <c r="AN43" i="4"/>
  <c r="AN41" i="4"/>
  <c r="AN40" i="4"/>
  <c r="AN39" i="4"/>
  <c r="AN38" i="4"/>
  <c r="AN37" i="4"/>
  <c r="AN36" i="4"/>
  <c r="AN35" i="4"/>
  <c r="AN34" i="4"/>
  <c r="AM38" i="4"/>
  <c r="AQ38" i="4" s="1"/>
  <c r="AM36" i="4"/>
  <c r="AQ36" i="4" s="1"/>
  <c r="AM35" i="4"/>
  <c r="AE43" i="4"/>
  <c r="AE41" i="4"/>
  <c r="AE40" i="4"/>
  <c r="AE39" i="4"/>
  <c r="AE38" i="4"/>
  <c r="AE37" i="4"/>
  <c r="AE36" i="4"/>
  <c r="AE35" i="4"/>
  <c r="AE34" i="4"/>
  <c r="AD43" i="4"/>
  <c r="AD41" i="4"/>
  <c r="AD40" i="4"/>
  <c r="AD39" i="4"/>
  <c r="AD38" i="4"/>
  <c r="AD37" i="4"/>
  <c r="AD36" i="4"/>
  <c r="AD35" i="4"/>
  <c r="AD34" i="4"/>
  <c r="AC38" i="4"/>
  <c r="AG38" i="4" s="1"/>
  <c r="AC36" i="4"/>
  <c r="AC35" i="4"/>
  <c r="AG35" i="4" s="1"/>
  <c r="U43" i="4"/>
  <c r="U41" i="4"/>
  <c r="U40" i="4"/>
  <c r="U39" i="4"/>
  <c r="U38" i="4"/>
  <c r="U37" i="4"/>
  <c r="U36" i="4"/>
  <c r="U35" i="4"/>
  <c r="U34" i="4"/>
  <c r="T43" i="4"/>
  <c r="T41" i="4"/>
  <c r="T40" i="4"/>
  <c r="T39" i="4"/>
  <c r="T38" i="4"/>
  <c r="T37" i="4"/>
  <c r="T36" i="4"/>
  <c r="T35" i="4"/>
  <c r="T34" i="4"/>
  <c r="AE26" i="4"/>
  <c r="AE25" i="4"/>
  <c r="AE24" i="4"/>
  <c r="AE23" i="4"/>
  <c r="AE22" i="4"/>
  <c r="AE21" i="4"/>
  <c r="AE20" i="4"/>
  <c r="AD26" i="4"/>
  <c r="AD25" i="4"/>
  <c r="AD24" i="4"/>
  <c r="AE19" i="4"/>
  <c r="E127" i="4"/>
  <c r="E126" i="4"/>
  <c r="E125" i="4"/>
  <c r="E124" i="4"/>
  <c r="E123" i="4"/>
  <c r="E122" i="4"/>
  <c r="E121" i="4"/>
  <c r="E120" i="4"/>
  <c r="C114" i="4"/>
  <c r="C112" i="4"/>
  <c r="C111" i="4"/>
  <c r="C110" i="4"/>
  <c r="C109" i="4"/>
  <c r="C108" i="4"/>
  <c r="C107" i="4"/>
  <c r="C106" i="4"/>
  <c r="C105" i="4"/>
  <c r="C99" i="4"/>
  <c r="C97" i="4"/>
  <c r="C96" i="4"/>
  <c r="C95" i="4"/>
  <c r="C94" i="4"/>
  <c r="C93" i="4"/>
  <c r="C92" i="4"/>
  <c r="C91" i="4"/>
  <c r="C90" i="4"/>
  <c r="C85" i="4"/>
  <c r="C83" i="4"/>
  <c r="C82" i="4"/>
  <c r="C81" i="4"/>
  <c r="C80" i="4"/>
  <c r="C79" i="4"/>
  <c r="C78" i="4"/>
  <c r="C77" i="4"/>
  <c r="C76" i="4"/>
  <c r="C71" i="4"/>
  <c r="C69" i="4"/>
  <c r="C68" i="4"/>
  <c r="C67" i="4"/>
  <c r="C66" i="4"/>
  <c r="C65" i="4"/>
  <c r="C64" i="4"/>
  <c r="C62" i="4"/>
  <c r="C63" i="4"/>
  <c r="C57" i="4"/>
  <c r="C55" i="4"/>
  <c r="C54" i="4"/>
  <c r="C53" i="4"/>
  <c r="C52" i="4"/>
  <c r="C51" i="4"/>
  <c r="C50" i="4"/>
  <c r="C49" i="4"/>
  <c r="C48" i="4"/>
  <c r="C43" i="4"/>
  <c r="C41" i="4"/>
  <c r="C40" i="4"/>
  <c r="C39" i="4"/>
  <c r="C38" i="4"/>
  <c r="C37" i="4"/>
  <c r="C36" i="4"/>
  <c r="C35" i="4"/>
  <c r="C34" i="4"/>
  <c r="U26" i="4"/>
  <c r="U25" i="4"/>
  <c r="U24" i="4"/>
  <c r="U23" i="4"/>
  <c r="U22" i="4"/>
  <c r="U21" i="4"/>
  <c r="U20" i="4"/>
  <c r="U19" i="4"/>
  <c r="AD23" i="4"/>
  <c r="AD22" i="4"/>
  <c r="AD21" i="4"/>
  <c r="AD20" i="4"/>
  <c r="AD19" i="4"/>
  <c r="T26" i="4"/>
  <c r="T25" i="4"/>
  <c r="T24" i="4"/>
  <c r="T23" i="4"/>
  <c r="T22" i="4"/>
  <c r="T21" i="4"/>
  <c r="T20" i="4"/>
  <c r="T19" i="4"/>
  <c r="AD16" i="2"/>
  <c r="AE16" i="2" s="1"/>
  <c r="AI6" i="2"/>
  <c r="E26" i="4"/>
  <c r="E25" i="4"/>
  <c r="E24" i="4"/>
  <c r="E23" i="4"/>
  <c r="E22" i="4"/>
  <c r="E21" i="4"/>
  <c r="E20" i="4"/>
  <c r="E19" i="4"/>
  <c r="C26" i="4"/>
  <c r="C25" i="4"/>
  <c r="C24" i="4"/>
  <c r="C23" i="4"/>
  <c r="C22" i="4"/>
  <c r="C21" i="4"/>
  <c r="C20" i="4"/>
  <c r="C19" i="4"/>
  <c r="AC34" i="2"/>
  <c r="AB16" i="2"/>
  <c r="AC16" i="2" s="1"/>
  <c r="Z16" i="2"/>
  <c r="AA16" i="2" s="1"/>
  <c r="U11" i="4"/>
  <c r="U10" i="4"/>
  <c r="U9" i="4"/>
  <c r="U8" i="4"/>
  <c r="U7" i="4"/>
  <c r="U5" i="4"/>
  <c r="U6" i="4"/>
  <c r="U4" i="4"/>
  <c r="T11" i="4"/>
  <c r="T10" i="4"/>
  <c r="T9" i="4"/>
  <c r="T8" i="4"/>
  <c r="T7" i="4"/>
  <c r="T6" i="4"/>
  <c r="T4" i="4"/>
  <c r="T5" i="4"/>
  <c r="E11" i="4"/>
  <c r="E10" i="4"/>
  <c r="E9" i="4"/>
  <c r="E7" i="4"/>
  <c r="E6" i="4"/>
  <c r="E5" i="4"/>
  <c r="E4" i="4"/>
  <c r="C11" i="4"/>
  <c r="C10" i="4"/>
  <c r="C9" i="4"/>
  <c r="C7" i="4"/>
  <c r="C6" i="4"/>
  <c r="C5" i="4"/>
  <c r="X16" i="2"/>
  <c r="Y16" i="2" s="1"/>
  <c r="C4" i="4"/>
  <c r="AE11" i="4"/>
  <c r="AE10" i="4"/>
  <c r="AE9" i="4"/>
  <c r="AE7" i="4"/>
  <c r="AE6" i="4"/>
  <c r="AE5" i="4"/>
  <c r="AE4" i="4"/>
  <c r="AD11" i="4"/>
  <c r="AD10" i="4"/>
  <c r="AD9" i="4"/>
  <c r="AD7" i="4"/>
  <c r="AD6" i="4"/>
  <c r="AD5" i="4"/>
  <c r="AD4" i="4"/>
  <c r="V16" i="2"/>
  <c r="W16" i="2" s="1"/>
  <c r="AB5" i="4" s="1"/>
  <c r="T16" i="2"/>
  <c r="U16" i="2" s="1"/>
  <c r="F5" i="4" s="1"/>
  <c r="C121" i="4" s="1"/>
  <c r="BG71" i="2"/>
  <c r="BG70" i="2"/>
  <c r="BG69" i="2"/>
  <c r="BG67" i="2"/>
  <c r="BG64" i="2"/>
  <c r="BE71" i="2"/>
  <c r="BE70" i="2"/>
  <c r="BE69" i="2"/>
  <c r="BE67" i="2"/>
  <c r="BE64" i="2"/>
  <c r="BC71" i="2"/>
  <c r="BC70" i="2"/>
  <c r="BC69" i="2"/>
  <c r="BC67" i="2"/>
  <c r="BC64" i="2"/>
  <c r="BA71" i="2"/>
  <c r="BA70" i="2"/>
  <c r="BA69" i="2"/>
  <c r="BA67" i="2"/>
  <c r="BA64" i="2"/>
  <c r="AY71" i="2"/>
  <c r="AY70" i="2"/>
  <c r="AY69" i="2"/>
  <c r="AY67" i="2"/>
  <c r="AY64" i="2"/>
  <c r="AW71" i="2"/>
  <c r="AQ70" i="2"/>
  <c r="AQ69" i="2"/>
  <c r="AQ67" i="2"/>
  <c r="AQ64" i="2"/>
  <c r="AW70" i="2"/>
  <c r="AW69" i="2"/>
  <c r="AW67" i="2"/>
  <c r="AW64" i="2"/>
  <c r="AU70" i="2"/>
  <c r="AU69" i="2"/>
  <c r="AU67" i="2"/>
  <c r="AU64" i="2"/>
  <c r="AS70" i="2"/>
  <c r="AS69" i="2"/>
  <c r="AS67" i="2"/>
  <c r="AS64" i="2"/>
  <c r="AO70" i="2"/>
  <c r="AO69" i="2"/>
  <c r="AO67" i="2"/>
  <c r="AO64" i="2"/>
  <c r="AM70" i="2"/>
  <c r="AM69" i="2"/>
  <c r="AM67" i="2"/>
  <c r="AM64" i="2"/>
  <c r="AK70" i="2"/>
  <c r="AK67" i="2"/>
  <c r="AK64" i="2"/>
  <c r="W69" i="2"/>
  <c r="U69" i="2"/>
  <c r="BK69" i="2"/>
  <c r="AK69" i="2"/>
  <c r="AI69" i="2"/>
  <c r="AG69" i="2"/>
  <c r="AG73" i="2" s="1"/>
  <c r="K43" i="4" s="1"/>
  <c r="AE69" i="2"/>
  <c r="S66" i="2"/>
  <c r="BJ58" i="2"/>
  <c r="BK57" i="2"/>
  <c r="BK56" i="2"/>
  <c r="BK55" i="2"/>
  <c r="BK54" i="2"/>
  <c r="BK53" i="2"/>
  <c r="BK52" i="2"/>
  <c r="BK51" i="2"/>
  <c r="BK50" i="2"/>
  <c r="BK49" i="2"/>
  <c r="BK48" i="2"/>
  <c r="BK47" i="2"/>
  <c r="BK45" i="2"/>
  <c r="BJ43" i="2"/>
  <c r="BK42" i="2"/>
  <c r="BK41" i="2"/>
  <c r="BK40" i="2"/>
  <c r="BK39" i="2"/>
  <c r="BK38" i="2"/>
  <c r="BK37" i="2"/>
  <c r="BK36" i="2"/>
  <c r="BK35" i="2"/>
  <c r="BK34" i="2"/>
  <c r="BK33" i="2"/>
  <c r="BJ31" i="2"/>
  <c r="BK30" i="2"/>
  <c r="BK29" i="2"/>
  <c r="BK28" i="2"/>
  <c r="BK27" i="2"/>
  <c r="BK26" i="2"/>
  <c r="BK25" i="2"/>
  <c r="BK24" i="2"/>
  <c r="BK23" i="2"/>
  <c r="BK22" i="2"/>
  <c r="BK21" i="2"/>
  <c r="BK20" i="2"/>
  <c r="BK18" i="2"/>
  <c r="BK16" i="2"/>
  <c r="D121" i="4" s="1"/>
  <c r="BJ14" i="2"/>
  <c r="BK13" i="2"/>
  <c r="BK12" i="2"/>
  <c r="BK11" i="2"/>
  <c r="BK10" i="2"/>
  <c r="BK9" i="2"/>
  <c r="BK8" i="2"/>
  <c r="BK7" i="2"/>
  <c r="BK6" i="2"/>
  <c r="BK5" i="2"/>
  <c r="BK4" i="2"/>
  <c r="BK3" i="2"/>
  <c r="BK2" i="2"/>
  <c r="BH58" i="2"/>
  <c r="BI57" i="2"/>
  <c r="BI56" i="2"/>
  <c r="BI55" i="2"/>
  <c r="BI54" i="2"/>
  <c r="BI53" i="2"/>
  <c r="BI52" i="2"/>
  <c r="BI51" i="2"/>
  <c r="BI50" i="2"/>
  <c r="BI49" i="2"/>
  <c r="BI48" i="2"/>
  <c r="BI47" i="2"/>
  <c r="BI45" i="2"/>
  <c r="BH43" i="2"/>
  <c r="S110" i="4" s="1"/>
  <c r="BI42" i="2"/>
  <c r="BI41" i="2"/>
  <c r="BI40" i="2"/>
  <c r="BI39" i="2"/>
  <c r="BI38" i="2"/>
  <c r="BI37" i="2"/>
  <c r="BI36" i="2"/>
  <c r="BI35" i="2"/>
  <c r="BI34" i="2"/>
  <c r="BI33" i="2"/>
  <c r="BH31" i="2"/>
  <c r="S108" i="4" s="1"/>
  <c r="BI30" i="2"/>
  <c r="BI29" i="2"/>
  <c r="BI28" i="2"/>
  <c r="BI27" i="2"/>
  <c r="BI26" i="2"/>
  <c r="BI25" i="2"/>
  <c r="BI24" i="2"/>
  <c r="BI23" i="2"/>
  <c r="BI22" i="2"/>
  <c r="BI21" i="2"/>
  <c r="BI20" i="2"/>
  <c r="BI18" i="2"/>
  <c r="BI16" i="2"/>
  <c r="BH14" i="2"/>
  <c r="BI13" i="2"/>
  <c r="BI12" i="2"/>
  <c r="BI11" i="2"/>
  <c r="BI10" i="2"/>
  <c r="BI9" i="2"/>
  <c r="BI8" i="2"/>
  <c r="BI7" i="2"/>
  <c r="BI6" i="2"/>
  <c r="BI5" i="2"/>
  <c r="BI4" i="2"/>
  <c r="BI3" i="2"/>
  <c r="BI2" i="2"/>
  <c r="BF58" i="2"/>
  <c r="AM96" i="4" s="1"/>
  <c r="BG57" i="2"/>
  <c r="BG56" i="2"/>
  <c r="BG55" i="2"/>
  <c r="BG54" i="2"/>
  <c r="BG53" i="2"/>
  <c r="BG52" i="2"/>
  <c r="BG51" i="2"/>
  <c r="BG50" i="2"/>
  <c r="BG49" i="2"/>
  <c r="BG48" i="2"/>
  <c r="BG47" i="2"/>
  <c r="BG45" i="2"/>
  <c r="BF43" i="2"/>
  <c r="BG42" i="2"/>
  <c r="BG41" i="2"/>
  <c r="BG40" i="2"/>
  <c r="BG39" i="2"/>
  <c r="BG38" i="2"/>
  <c r="BG37" i="2"/>
  <c r="BG36" i="2"/>
  <c r="BG35" i="2"/>
  <c r="BG34" i="2"/>
  <c r="BG33" i="2"/>
  <c r="BF31" i="2"/>
  <c r="BG30" i="2"/>
  <c r="BG29" i="2"/>
  <c r="BG28" i="2"/>
  <c r="BG27" i="2"/>
  <c r="BG26" i="2"/>
  <c r="BG25" i="2"/>
  <c r="BG24" i="2"/>
  <c r="BG23" i="2"/>
  <c r="BG22" i="2"/>
  <c r="BG21" i="2"/>
  <c r="BG20" i="2"/>
  <c r="BG18" i="2"/>
  <c r="L92" i="4" s="1"/>
  <c r="BG16" i="2"/>
  <c r="BF14" i="2"/>
  <c r="BG13" i="2"/>
  <c r="BG12" i="2"/>
  <c r="BG11" i="2"/>
  <c r="BG10" i="2"/>
  <c r="BG9" i="2"/>
  <c r="BG8" i="2"/>
  <c r="BG7" i="2"/>
  <c r="BG6" i="2"/>
  <c r="BG5" i="2"/>
  <c r="BG4" i="2"/>
  <c r="BG3" i="2"/>
  <c r="BG2" i="2"/>
  <c r="BD58" i="2"/>
  <c r="AC96" i="4" s="1"/>
  <c r="BE57" i="2"/>
  <c r="BE56" i="2"/>
  <c r="BE55" i="2"/>
  <c r="BE54" i="2"/>
  <c r="BE53" i="2"/>
  <c r="BE52" i="2"/>
  <c r="BE51" i="2"/>
  <c r="BE50" i="2"/>
  <c r="BE49" i="2"/>
  <c r="BE48" i="2"/>
  <c r="BE47" i="2"/>
  <c r="BE45" i="2"/>
  <c r="BD43" i="2"/>
  <c r="AC95" i="4" s="1"/>
  <c r="BE42" i="2"/>
  <c r="BE41" i="2"/>
  <c r="BE40" i="2"/>
  <c r="BE39" i="2"/>
  <c r="BE38" i="2"/>
  <c r="BE37" i="2"/>
  <c r="BE36" i="2"/>
  <c r="BE35" i="2"/>
  <c r="BE34" i="2"/>
  <c r="BE33" i="2"/>
  <c r="BD31" i="2"/>
  <c r="AC93" i="4" s="1"/>
  <c r="BE30" i="2"/>
  <c r="BE29" i="2"/>
  <c r="BE28" i="2"/>
  <c r="BE27" i="2"/>
  <c r="BE26" i="2"/>
  <c r="BE25" i="2"/>
  <c r="BE24" i="2"/>
  <c r="BE23" i="2"/>
  <c r="BE22" i="2"/>
  <c r="BE21" i="2"/>
  <c r="BE20" i="2"/>
  <c r="BE18" i="2"/>
  <c r="BE16" i="2"/>
  <c r="BD14" i="2"/>
  <c r="BE13" i="2"/>
  <c r="BE12" i="2"/>
  <c r="BE11" i="2"/>
  <c r="BE10" i="2"/>
  <c r="BE9" i="2"/>
  <c r="BE8" i="2"/>
  <c r="BE7" i="2"/>
  <c r="BE6" i="2"/>
  <c r="BE5" i="2"/>
  <c r="BE4" i="2"/>
  <c r="BE3" i="2"/>
  <c r="BE2" i="2"/>
  <c r="BB58" i="2"/>
  <c r="BC57" i="2"/>
  <c r="BC56" i="2"/>
  <c r="BC55" i="2"/>
  <c r="BC54" i="2"/>
  <c r="BC53" i="2"/>
  <c r="BC52" i="2"/>
  <c r="BC51" i="2"/>
  <c r="BC50" i="2"/>
  <c r="BC49" i="2"/>
  <c r="BC48" i="2"/>
  <c r="BC47" i="2"/>
  <c r="BC45" i="2"/>
  <c r="BB43" i="2"/>
  <c r="BC42" i="2"/>
  <c r="BC41" i="2"/>
  <c r="BC40" i="2"/>
  <c r="BC39" i="2"/>
  <c r="BC38" i="2"/>
  <c r="BC37" i="2"/>
  <c r="BC36" i="2"/>
  <c r="BC35" i="2"/>
  <c r="BC34" i="2"/>
  <c r="BC33" i="2"/>
  <c r="BB31" i="2"/>
  <c r="BC30" i="2"/>
  <c r="BC29" i="2"/>
  <c r="BC28" i="2"/>
  <c r="BC27" i="2"/>
  <c r="BC26" i="2"/>
  <c r="BC25" i="2"/>
  <c r="BC24" i="2"/>
  <c r="BC23" i="2"/>
  <c r="BC22" i="2"/>
  <c r="BC21" i="2"/>
  <c r="BC20" i="2"/>
  <c r="BC18" i="2"/>
  <c r="BC16" i="2"/>
  <c r="BB14" i="2"/>
  <c r="BC13" i="2"/>
  <c r="BC12" i="2"/>
  <c r="BC11" i="2"/>
  <c r="BC10" i="2"/>
  <c r="BC9" i="2"/>
  <c r="BC8" i="2"/>
  <c r="BC7" i="2"/>
  <c r="BC6" i="2"/>
  <c r="BC5" i="2"/>
  <c r="BC4" i="2"/>
  <c r="BC3" i="2"/>
  <c r="BC2" i="2"/>
  <c r="AZ58" i="2"/>
  <c r="BA57" i="2"/>
  <c r="BA56" i="2"/>
  <c r="BA55" i="2"/>
  <c r="BA54" i="2"/>
  <c r="BA53" i="2"/>
  <c r="BA52" i="2"/>
  <c r="BA51" i="2"/>
  <c r="BA50" i="2"/>
  <c r="BA49" i="2"/>
  <c r="BA48" i="2"/>
  <c r="BA47" i="2"/>
  <c r="BA45" i="2"/>
  <c r="AZ43" i="2"/>
  <c r="BA42" i="2"/>
  <c r="BA41" i="2"/>
  <c r="BA40" i="2"/>
  <c r="BA39" i="2"/>
  <c r="BA38" i="2"/>
  <c r="BA37" i="2"/>
  <c r="BA36" i="2"/>
  <c r="BA35" i="2"/>
  <c r="BA34" i="2"/>
  <c r="BA33" i="2"/>
  <c r="AZ31" i="2"/>
  <c r="BA30" i="2"/>
  <c r="BA29" i="2"/>
  <c r="BA28" i="2"/>
  <c r="BA27" i="2"/>
  <c r="BA26" i="2"/>
  <c r="BA25" i="2"/>
  <c r="BA24" i="2"/>
  <c r="BA23" i="2"/>
  <c r="BA22" i="2"/>
  <c r="BA21" i="2"/>
  <c r="BA20" i="2"/>
  <c r="BA18" i="2"/>
  <c r="BA16" i="2"/>
  <c r="AZ14" i="2"/>
  <c r="BA14" i="2" s="1"/>
  <c r="BA13" i="2"/>
  <c r="BA12" i="2"/>
  <c r="BA11" i="2"/>
  <c r="BA10" i="2"/>
  <c r="BA9" i="2"/>
  <c r="BA8" i="2"/>
  <c r="BA7" i="2"/>
  <c r="BA6" i="2"/>
  <c r="BA5" i="2"/>
  <c r="BA4" i="2"/>
  <c r="BA3" i="2"/>
  <c r="BA2" i="2"/>
  <c r="AX58" i="2"/>
  <c r="AY57" i="2"/>
  <c r="AY56" i="2"/>
  <c r="AY55" i="2"/>
  <c r="AY54" i="2"/>
  <c r="AY53" i="2"/>
  <c r="AY52" i="2"/>
  <c r="AY51" i="2"/>
  <c r="AY50" i="2"/>
  <c r="AY49" i="2"/>
  <c r="AY48" i="2"/>
  <c r="AY47" i="2"/>
  <c r="AY45" i="2"/>
  <c r="K80" i="4" s="1"/>
  <c r="AX43" i="2"/>
  <c r="AY42" i="2"/>
  <c r="AY41" i="2"/>
  <c r="AY40" i="2"/>
  <c r="AY39" i="2"/>
  <c r="AY38" i="2"/>
  <c r="AY37" i="2"/>
  <c r="AY36" i="2"/>
  <c r="AY35" i="2"/>
  <c r="AY34" i="2"/>
  <c r="AY33" i="2"/>
  <c r="AX31" i="2"/>
  <c r="AC79" i="4" s="1"/>
  <c r="AY30" i="2"/>
  <c r="AY29" i="2"/>
  <c r="AY28" i="2"/>
  <c r="AY27" i="2"/>
  <c r="AY26" i="2"/>
  <c r="AY25" i="2"/>
  <c r="AY24" i="2"/>
  <c r="AY23" i="2"/>
  <c r="AY22" i="2"/>
  <c r="AY21" i="2"/>
  <c r="AY20" i="2"/>
  <c r="AY18" i="2"/>
  <c r="AY16" i="2"/>
  <c r="AX14" i="2"/>
  <c r="AC76" i="4" s="1"/>
  <c r="AG76" i="4" s="1"/>
  <c r="AY13" i="2"/>
  <c r="AY12" i="2"/>
  <c r="AY11" i="2"/>
  <c r="AY10" i="2"/>
  <c r="AY9" i="2"/>
  <c r="AY8" i="2"/>
  <c r="AY7" i="2"/>
  <c r="AY6" i="2"/>
  <c r="AY5" i="2"/>
  <c r="AY4" i="2"/>
  <c r="AY3" i="2"/>
  <c r="AY2" i="2"/>
  <c r="AV58" i="2"/>
  <c r="AW57" i="2"/>
  <c r="AW56" i="2"/>
  <c r="AW55" i="2"/>
  <c r="AW54" i="2"/>
  <c r="AW53" i="2"/>
  <c r="AW52" i="2"/>
  <c r="AW51" i="2"/>
  <c r="AW50" i="2"/>
  <c r="AW49" i="2"/>
  <c r="AW48" i="2"/>
  <c r="AW47" i="2"/>
  <c r="AW45" i="2"/>
  <c r="AV43" i="2"/>
  <c r="S81" i="4" s="1"/>
  <c r="AW42" i="2"/>
  <c r="AW41" i="2"/>
  <c r="AW40" i="2"/>
  <c r="AW39" i="2"/>
  <c r="AW38" i="2"/>
  <c r="AW37" i="2"/>
  <c r="AW36" i="2"/>
  <c r="AW35" i="2"/>
  <c r="AW34" i="2"/>
  <c r="AW33" i="2"/>
  <c r="AV31" i="2"/>
  <c r="AW30" i="2"/>
  <c r="AW29" i="2"/>
  <c r="AW28" i="2"/>
  <c r="AW27" i="2"/>
  <c r="AW26" i="2"/>
  <c r="AW25" i="2"/>
  <c r="AW24" i="2"/>
  <c r="AW23" i="2"/>
  <c r="AW22" i="2"/>
  <c r="AW21" i="2"/>
  <c r="AW20" i="2"/>
  <c r="AW18" i="2"/>
  <c r="AW16" i="2"/>
  <c r="AV14" i="2"/>
  <c r="AW13" i="2"/>
  <c r="AW12" i="2"/>
  <c r="AW11" i="2"/>
  <c r="AW10" i="2"/>
  <c r="AW9" i="2"/>
  <c r="AW8" i="2"/>
  <c r="AW7" i="2"/>
  <c r="AW6" i="2"/>
  <c r="AW5" i="2"/>
  <c r="AW4" i="2"/>
  <c r="AW3" i="2"/>
  <c r="AW2" i="2"/>
  <c r="AT58" i="2"/>
  <c r="AU57" i="2"/>
  <c r="AU56" i="2"/>
  <c r="AU55" i="2"/>
  <c r="AU54" i="2"/>
  <c r="AU53" i="2"/>
  <c r="AU52" i="2"/>
  <c r="AU51" i="2"/>
  <c r="AU50" i="2"/>
  <c r="AU49" i="2"/>
  <c r="AU48" i="2"/>
  <c r="AU47" i="2"/>
  <c r="AU45" i="2"/>
  <c r="AT43" i="2"/>
  <c r="AU42" i="2"/>
  <c r="AU41" i="2"/>
  <c r="AU40" i="2"/>
  <c r="AU39" i="2"/>
  <c r="AU38" i="2"/>
  <c r="AU37" i="2"/>
  <c r="AU36" i="2"/>
  <c r="AU35" i="2"/>
  <c r="AU34" i="2"/>
  <c r="AU33" i="2"/>
  <c r="AT31" i="2"/>
  <c r="AU30" i="2"/>
  <c r="AU29" i="2"/>
  <c r="AU28" i="2"/>
  <c r="AU27" i="2"/>
  <c r="AU26" i="2"/>
  <c r="AU25" i="2"/>
  <c r="AU24" i="2"/>
  <c r="AU23" i="2"/>
  <c r="AU22" i="2"/>
  <c r="AU21" i="2"/>
  <c r="AU20" i="2"/>
  <c r="AU18" i="2"/>
  <c r="AU16" i="2"/>
  <c r="AT14" i="2"/>
  <c r="AU13" i="2"/>
  <c r="AU12" i="2"/>
  <c r="AU11" i="2"/>
  <c r="AU10" i="2"/>
  <c r="AU9" i="2"/>
  <c r="AU8" i="2"/>
  <c r="AU7" i="2"/>
  <c r="AU6" i="2"/>
  <c r="AU5" i="2"/>
  <c r="AU4" i="2"/>
  <c r="AU3" i="2"/>
  <c r="AU2" i="2"/>
  <c r="AR58" i="2"/>
  <c r="AC68" i="4" s="1"/>
  <c r="AS57" i="2"/>
  <c r="AS56" i="2"/>
  <c r="AS55" i="2"/>
  <c r="AS54" i="2"/>
  <c r="AS53" i="2"/>
  <c r="AS52" i="2"/>
  <c r="AS51" i="2"/>
  <c r="AS50" i="2"/>
  <c r="AS49" i="2"/>
  <c r="AS48" i="2"/>
  <c r="AS47" i="2"/>
  <c r="AS45" i="2"/>
  <c r="AR43" i="2"/>
  <c r="AC67" i="4" s="1"/>
  <c r="AS42" i="2"/>
  <c r="AS41" i="2"/>
  <c r="AS40" i="2"/>
  <c r="AS39" i="2"/>
  <c r="AS38" i="2"/>
  <c r="AS37" i="2"/>
  <c r="AS36" i="2"/>
  <c r="AS35" i="2"/>
  <c r="AS34" i="2"/>
  <c r="AS33" i="2"/>
  <c r="AR31" i="2"/>
  <c r="AS30" i="2"/>
  <c r="AS29" i="2"/>
  <c r="AS28" i="2"/>
  <c r="AS27" i="2"/>
  <c r="AS26" i="2"/>
  <c r="AS25" i="2"/>
  <c r="AS24" i="2"/>
  <c r="AS23" i="2"/>
  <c r="AS22" i="2"/>
  <c r="AS21" i="2"/>
  <c r="AS20" i="2"/>
  <c r="AS18" i="2"/>
  <c r="AB64" i="4" s="1"/>
  <c r="AS16" i="2"/>
  <c r="AR14" i="2"/>
  <c r="AS13" i="2"/>
  <c r="AS12" i="2"/>
  <c r="AS11" i="2"/>
  <c r="AS10" i="2"/>
  <c r="AS9" i="2"/>
  <c r="AS8" i="2"/>
  <c r="AS7" i="2"/>
  <c r="AS6" i="2"/>
  <c r="AS5" i="2"/>
  <c r="AS4" i="2"/>
  <c r="AS3" i="2"/>
  <c r="AS2" i="2"/>
  <c r="AP58" i="2"/>
  <c r="AQ57" i="2"/>
  <c r="AQ56" i="2"/>
  <c r="AQ55" i="2"/>
  <c r="AQ54" i="2"/>
  <c r="AQ53" i="2"/>
  <c r="AQ52" i="2"/>
  <c r="AQ51" i="2"/>
  <c r="AQ50" i="2"/>
  <c r="AQ49" i="2"/>
  <c r="AQ48" i="2"/>
  <c r="AQ47" i="2"/>
  <c r="AQ45" i="2"/>
  <c r="R66" i="4" s="1"/>
  <c r="AP43" i="2"/>
  <c r="AQ42" i="2"/>
  <c r="AQ41" i="2"/>
  <c r="AQ40" i="2"/>
  <c r="AQ39" i="2"/>
  <c r="AQ38" i="2"/>
  <c r="AQ37" i="2"/>
  <c r="AQ36" i="2"/>
  <c r="AQ35" i="2"/>
  <c r="AQ34" i="2"/>
  <c r="AQ33" i="2"/>
  <c r="AP31" i="2"/>
  <c r="AQ30" i="2"/>
  <c r="AQ29" i="2"/>
  <c r="AQ28" i="2"/>
  <c r="AQ27" i="2"/>
  <c r="AQ26" i="2"/>
  <c r="AQ25" i="2"/>
  <c r="AQ24" i="2"/>
  <c r="AQ23" i="2"/>
  <c r="AQ22" i="2"/>
  <c r="AQ21" i="2"/>
  <c r="AQ20" i="2"/>
  <c r="AQ18" i="2"/>
  <c r="AQ16" i="2"/>
  <c r="AP14" i="2"/>
  <c r="S62" i="4" s="1"/>
  <c r="AQ13" i="2"/>
  <c r="AQ12" i="2"/>
  <c r="AQ11" i="2"/>
  <c r="AQ10" i="2"/>
  <c r="AQ9" i="2"/>
  <c r="AQ8" i="2"/>
  <c r="AQ7" i="2"/>
  <c r="AQ6" i="2"/>
  <c r="AQ5" i="2"/>
  <c r="AQ4" i="2"/>
  <c r="AQ3" i="2"/>
  <c r="AQ2" i="2"/>
  <c r="AN58" i="2"/>
  <c r="AO57" i="2"/>
  <c r="AO56" i="2"/>
  <c r="AO55" i="2"/>
  <c r="AO54" i="2"/>
  <c r="AO53" i="2"/>
  <c r="AO52" i="2"/>
  <c r="AO51" i="2"/>
  <c r="AO50" i="2"/>
  <c r="AO49" i="2"/>
  <c r="AO48" i="2"/>
  <c r="AO47" i="2"/>
  <c r="AO45" i="2"/>
  <c r="AN43" i="2"/>
  <c r="AO42" i="2"/>
  <c r="AO41" i="2"/>
  <c r="AO40" i="2"/>
  <c r="AO39" i="2"/>
  <c r="AO38" i="2"/>
  <c r="AO37" i="2"/>
  <c r="AO36" i="2"/>
  <c r="AO35" i="2"/>
  <c r="AO34" i="2"/>
  <c r="AO33" i="2"/>
  <c r="AN31" i="2"/>
  <c r="AM51" i="4" s="1"/>
  <c r="AO30" i="2"/>
  <c r="AO29" i="2"/>
  <c r="AO28" i="2"/>
  <c r="AO27" i="2"/>
  <c r="AO26" i="2"/>
  <c r="AO25" i="2"/>
  <c r="AO24" i="2"/>
  <c r="AO23" i="2"/>
  <c r="AO22" i="2"/>
  <c r="AO21" i="2"/>
  <c r="AO20" i="2"/>
  <c r="AO18" i="2"/>
  <c r="AL50" i="4" s="1"/>
  <c r="AO16" i="2"/>
  <c r="AN14" i="2"/>
  <c r="AO13" i="2"/>
  <c r="AO12" i="2"/>
  <c r="AO11" i="2"/>
  <c r="AO10" i="2"/>
  <c r="AO9" i="2"/>
  <c r="AO8" i="2"/>
  <c r="AO7" i="2"/>
  <c r="AO6" i="2"/>
  <c r="AO5" i="2"/>
  <c r="AO4" i="2"/>
  <c r="AO3" i="2"/>
  <c r="AO2" i="2"/>
  <c r="AL58" i="2"/>
  <c r="AC54" i="4" s="1"/>
  <c r="AM57" i="2"/>
  <c r="AM56" i="2"/>
  <c r="AM55" i="2"/>
  <c r="AM54" i="2"/>
  <c r="AM53" i="2"/>
  <c r="AM52" i="2"/>
  <c r="AM51" i="2"/>
  <c r="AM50" i="2"/>
  <c r="AM49" i="2"/>
  <c r="AM48" i="2"/>
  <c r="AM47" i="2"/>
  <c r="AM45" i="2"/>
  <c r="AB52" i="4" s="1"/>
  <c r="AL43" i="2"/>
  <c r="AM42" i="2"/>
  <c r="AM41" i="2"/>
  <c r="AM40" i="2"/>
  <c r="AM39" i="2"/>
  <c r="AM38" i="2"/>
  <c r="AM37" i="2"/>
  <c r="AM36" i="2"/>
  <c r="AM35" i="2"/>
  <c r="AM34" i="2"/>
  <c r="AM33" i="2"/>
  <c r="AL31" i="2"/>
  <c r="AM30" i="2"/>
  <c r="AM29" i="2"/>
  <c r="AM28" i="2"/>
  <c r="AM27" i="2"/>
  <c r="AM26" i="2"/>
  <c r="AM25" i="2"/>
  <c r="AM24" i="2"/>
  <c r="AM23" i="2"/>
  <c r="AM22" i="2"/>
  <c r="AM21" i="2"/>
  <c r="AM20" i="2"/>
  <c r="AM18" i="2"/>
  <c r="AM16" i="2"/>
  <c r="AL14" i="2"/>
  <c r="AM13" i="2"/>
  <c r="AM12" i="2"/>
  <c r="AM11" i="2"/>
  <c r="AM10" i="2"/>
  <c r="AM9" i="2"/>
  <c r="AM8" i="2"/>
  <c r="AM7" i="2"/>
  <c r="AM6" i="2"/>
  <c r="AM5" i="2"/>
  <c r="AM4" i="2"/>
  <c r="AM3" i="2"/>
  <c r="AM2" i="2"/>
  <c r="AJ58" i="2"/>
  <c r="S54" i="4" s="1"/>
  <c r="AK57" i="2"/>
  <c r="AK56" i="2"/>
  <c r="AK55" i="2"/>
  <c r="AK54" i="2"/>
  <c r="AK53" i="2"/>
  <c r="AK52" i="2"/>
  <c r="AK51" i="2"/>
  <c r="AK50" i="2"/>
  <c r="AK49" i="2"/>
  <c r="AK48" i="2"/>
  <c r="AK47" i="2"/>
  <c r="AK45" i="2"/>
  <c r="AJ43" i="2"/>
  <c r="AK42" i="2"/>
  <c r="AK41" i="2"/>
  <c r="AK40" i="2"/>
  <c r="AK39" i="2"/>
  <c r="AK38" i="2"/>
  <c r="AK37" i="2"/>
  <c r="AK36" i="2"/>
  <c r="AK35" i="2"/>
  <c r="AK34" i="2"/>
  <c r="AK33" i="2"/>
  <c r="AJ31" i="2"/>
  <c r="AK30" i="2"/>
  <c r="AK29" i="2"/>
  <c r="AK28" i="2"/>
  <c r="AK27" i="2"/>
  <c r="AK26" i="2"/>
  <c r="AK25" i="2"/>
  <c r="AK24" i="2"/>
  <c r="AK23" i="2"/>
  <c r="AK22" i="2"/>
  <c r="AK21" i="2"/>
  <c r="AK20" i="2"/>
  <c r="AK18" i="2"/>
  <c r="AK16" i="2"/>
  <c r="AJ14" i="2"/>
  <c r="AK13" i="2"/>
  <c r="AK12" i="2"/>
  <c r="AK11" i="2"/>
  <c r="AK10" i="2"/>
  <c r="AK9" i="2"/>
  <c r="AK8" i="2"/>
  <c r="AK7" i="2"/>
  <c r="AK6" i="2"/>
  <c r="AK5" i="2"/>
  <c r="AK4" i="2"/>
  <c r="AK3" i="2"/>
  <c r="AK2" i="2"/>
  <c r="AH58" i="2"/>
  <c r="AM40" i="4" s="1"/>
  <c r="AQ40" i="4" s="1"/>
  <c r="AI57" i="2"/>
  <c r="AI56" i="2"/>
  <c r="AI55" i="2"/>
  <c r="AI54" i="2"/>
  <c r="AI53" i="2"/>
  <c r="AI52" i="2"/>
  <c r="AI51" i="2"/>
  <c r="AI50" i="2"/>
  <c r="AI49" i="2"/>
  <c r="AI48" i="2"/>
  <c r="AI47" i="2"/>
  <c r="AI45" i="2"/>
  <c r="L38" i="4" s="1"/>
  <c r="AH43" i="2"/>
  <c r="AI42" i="2"/>
  <c r="AI41" i="2"/>
  <c r="AI40" i="2"/>
  <c r="AI39" i="2"/>
  <c r="AI38" i="2"/>
  <c r="AI37" i="2"/>
  <c r="AI36" i="2"/>
  <c r="AI35" i="2"/>
  <c r="AI34" i="2"/>
  <c r="AI33" i="2"/>
  <c r="AH31" i="2"/>
  <c r="AI30" i="2"/>
  <c r="AI29" i="2"/>
  <c r="AI28" i="2"/>
  <c r="AI27" i="2"/>
  <c r="AI26" i="2"/>
  <c r="AI25" i="2"/>
  <c r="AI24" i="2"/>
  <c r="AI23" i="2"/>
  <c r="AI22" i="2"/>
  <c r="AI21" i="2"/>
  <c r="AI20" i="2"/>
  <c r="AI18" i="2"/>
  <c r="AL36" i="4" s="1"/>
  <c r="AI16" i="2"/>
  <c r="AL35" i="4" s="1"/>
  <c r="AH14" i="2"/>
  <c r="AI13" i="2"/>
  <c r="AI12" i="2"/>
  <c r="AI11" i="2"/>
  <c r="AI10" i="2"/>
  <c r="AI9" i="2"/>
  <c r="AI8" i="2"/>
  <c r="AI7" i="2"/>
  <c r="AI5" i="2"/>
  <c r="AI4" i="2"/>
  <c r="AI3" i="2"/>
  <c r="AI2" i="2"/>
  <c r="AF58" i="2"/>
  <c r="AG57" i="2"/>
  <c r="AG56" i="2"/>
  <c r="AG55" i="2"/>
  <c r="AG54" i="2"/>
  <c r="AG53" i="2"/>
  <c r="AG52" i="2"/>
  <c r="AG51" i="2"/>
  <c r="AG50" i="2"/>
  <c r="AG49" i="2"/>
  <c r="AG48" i="2"/>
  <c r="AG47" i="2"/>
  <c r="AG45" i="2"/>
  <c r="AB38" i="4" s="1"/>
  <c r="AF43" i="2"/>
  <c r="AG42" i="2"/>
  <c r="AG41" i="2"/>
  <c r="AG40" i="2"/>
  <c r="AG39" i="2"/>
  <c r="AG38" i="2"/>
  <c r="AG37" i="2"/>
  <c r="AG36" i="2"/>
  <c r="AG35" i="2"/>
  <c r="AG34" i="2"/>
  <c r="AG33" i="2"/>
  <c r="AF31" i="2"/>
  <c r="AG30" i="2"/>
  <c r="AG29" i="2"/>
  <c r="AG28" i="2"/>
  <c r="AG27" i="2"/>
  <c r="AG26" i="2"/>
  <c r="AG25" i="2"/>
  <c r="AG24" i="2"/>
  <c r="AG23" i="2"/>
  <c r="AG22" i="2"/>
  <c r="AG21" i="2"/>
  <c r="AG20" i="2"/>
  <c r="AG18" i="2"/>
  <c r="AB36" i="4" s="1"/>
  <c r="AG16" i="2"/>
  <c r="AB35" i="4" s="1"/>
  <c r="AF14" i="2"/>
  <c r="AC34" i="4" s="1"/>
  <c r="AG13" i="2"/>
  <c r="AG12" i="2"/>
  <c r="AG11" i="2"/>
  <c r="AG10" i="2"/>
  <c r="AG9" i="2"/>
  <c r="AG8" i="2"/>
  <c r="AG7" i="2"/>
  <c r="AG6" i="2"/>
  <c r="AG5" i="2"/>
  <c r="AG4" i="2"/>
  <c r="AG3" i="2"/>
  <c r="AG2" i="2"/>
  <c r="AD58" i="2"/>
  <c r="AE57" i="2"/>
  <c r="AE56" i="2"/>
  <c r="AE55" i="2"/>
  <c r="AE54" i="2"/>
  <c r="AE53" i="2"/>
  <c r="AE52" i="2"/>
  <c r="AE51" i="2"/>
  <c r="AE50" i="2"/>
  <c r="AE49" i="2"/>
  <c r="AE48" i="2"/>
  <c r="AE47" i="2"/>
  <c r="AE45" i="2"/>
  <c r="AD43" i="2"/>
  <c r="AE42" i="2"/>
  <c r="AE41" i="2"/>
  <c r="AE40" i="2"/>
  <c r="AE39" i="2"/>
  <c r="AE38" i="2"/>
  <c r="AE37" i="2"/>
  <c r="AE36" i="2"/>
  <c r="AE35" i="2"/>
  <c r="AE34" i="2"/>
  <c r="AE33" i="2"/>
  <c r="AD31" i="2"/>
  <c r="AE30" i="2"/>
  <c r="AE29" i="2"/>
  <c r="AE28" i="2"/>
  <c r="AE27" i="2"/>
  <c r="AE26" i="2"/>
  <c r="AE25" i="2"/>
  <c r="AE24" i="2"/>
  <c r="AE23" i="2"/>
  <c r="AE22" i="2"/>
  <c r="AE21" i="2"/>
  <c r="AE20" i="2"/>
  <c r="AE18" i="2"/>
  <c r="AD14" i="2"/>
  <c r="AE13" i="2"/>
  <c r="AE12" i="2"/>
  <c r="AE11" i="2"/>
  <c r="AE10" i="2"/>
  <c r="AE9" i="2"/>
  <c r="AE8" i="2"/>
  <c r="AE7" i="2"/>
  <c r="AE6" i="2"/>
  <c r="AE5" i="2"/>
  <c r="AE4" i="2"/>
  <c r="AE3" i="2"/>
  <c r="AE2" i="2"/>
  <c r="AB58" i="2"/>
  <c r="S25" i="4" s="1"/>
  <c r="AC57" i="2"/>
  <c r="AC56" i="2"/>
  <c r="AC55" i="2"/>
  <c r="AC54" i="2"/>
  <c r="AC53" i="2"/>
  <c r="AC52" i="2"/>
  <c r="AC51" i="2"/>
  <c r="AC50" i="2"/>
  <c r="AC49" i="2"/>
  <c r="AC48" i="2"/>
  <c r="AC47" i="2"/>
  <c r="AC45" i="2"/>
  <c r="AB43" i="2"/>
  <c r="AC42" i="2"/>
  <c r="AC41" i="2"/>
  <c r="AC40" i="2"/>
  <c r="AC39" i="2"/>
  <c r="AC38" i="2"/>
  <c r="AC37" i="2"/>
  <c r="AC36" i="2"/>
  <c r="AC35" i="2"/>
  <c r="AC33" i="2"/>
  <c r="AB31" i="2"/>
  <c r="AC30" i="2"/>
  <c r="AC29" i="2"/>
  <c r="AC28" i="2"/>
  <c r="AC27" i="2"/>
  <c r="AC26" i="2"/>
  <c r="AC25" i="2"/>
  <c r="AC24" i="2"/>
  <c r="AC23" i="2"/>
  <c r="AC22" i="2"/>
  <c r="AC21" i="2"/>
  <c r="AC20" i="2"/>
  <c r="AC18" i="2"/>
  <c r="AB14" i="2"/>
  <c r="AC14" i="2" s="1"/>
  <c r="AC13" i="2"/>
  <c r="AC12" i="2"/>
  <c r="AC11" i="2"/>
  <c r="AC10" i="2"/>
  <c r="AC9" i="2"/>
  <c r="AC8" i="2"/>
  <c r="AC7" i="2"/>
  <c r="AC6" i="2"/>
  <c r="AC5" i="2"/>
  <c r="AC4" i="2"/>
  <c r="AC3" i="2"/>
  <c r="AC2" i="2"/>
  <c r="Z58" i="2"/>
  <c r="AC25" i="4" s="1"/>
  <c r="AA57" i="2"/>
  <c r="AA56" i="2"/>
  <c r="AA55" i="2"/>
  <c r="AA54" i="2"/>
  <c r="AA53" i="2"/>
  <c r="AA52" i="2"/>
  <c r="AA51" i="2"/>
  <c r="AA50" i="2"/>
  <c r="AA49" i="2"/>
  <c r="AA48" i="2"/>
  <c r="AA47" i="2"/>
  <c r="AA45" i="2"/>
  <c r="Z43" i="2"/>
  <c r="AA42" i="2"/>
  <c r="AA41" i="2"/>
  <c r="AA40" i="2"/>
  <c r="AA39" i="2"/>
  <c r="AA38" i="2"/>
  <c r="AA37" i="2"/>
  <c r="AA36" i="2"/>
  <c r="AA35" i="2"/>
  <c r="AA34" i="2"/>
  <c r="AA33" i="2"/>
  <c r="Z31" i="2"/>
  <c r="AA30" i="2"/>
  <c r="AA29" i="2"/>
  <c r="AA28" i="2"/>
  <c r="AA27" i="2"/>
  <c r="AA26" i="2"/>
  <c r="AA25" i="2"/>
  <c r="AA24" i="2"/>
  <c r="AA23" i="2"/>
  <c r="AA22" i="2"/>
  <c r="AA21" i="2"/>
  <c r="AA20" i="2"/>
  <c r="AA18" i="2"/>
  <c r="AB21" i="4" s="1"/>
  <c r="Z14" i="2"/>
  <c r="AA13" i="2"/>
  <c r="AA12" i="2"/>
  <c r="AA11" i="2"/>
  <c r="AA10" i="2"/>
  <c r="AA9" i="2"/>
  <c r="AA8" i="2"/>
  <c r="AA7" i="2"/>
  <c r="AA6" i="2"/>
  <c r="AA5" i="2"/>
  <c r="AA4" i="2"/>
  <c r="AA3" i="2"/>
  <c r="AA2" i="2"/>
  <c r="X58" i="2"/>
  <c r="Y57" i="2"/>
  <c r="Y56" i="2"/>
  <c r="Y55" i="2"/>
  <c r="Y54" i="2"/>
  <c r="Y53" i="2"/>
  <c r="Y52" i="2"/>
  <c r="Y51" i="2"/>
  <c r="Y50" i="2"/>
  <c r="Y49" i="2"/>
  <c r="Y48" i="2"/>
  <c r="Y47" i="2"/>
  <c r="Y45" i="2"/>
  <c r="R8" i="4" s="1"/>
  <c r="X43" i="2"/>
  <c r="Y42" i="2"/>
  <c r="Y41" i="2"/>
  <c r="Y40" i="2"/>
  <c r="Y39" i="2"/>
  <c r="Y38" i="2"/>
  <c r="Y37" i="2"/>
  <c r="Y36" i="2"/>
  <c r="Y35" i="2"/>
  <c r="Y34" i="2"/>
  <c r="Y33" i="2"/>
  <c r="X31" i="2"/>
  <c r="Y30" i="2"/>
  <c r="Y29" i="2"/>
  <c r="Y28" i="2"/>
  <c r="Y27" i="2"/>
  <c r="Y26" i="2"/>
  <c r="Y25" i="2"/>
  <c r="Y24" i="2"/>
  <c r="Y23" i="2"/>
  <c r="Y22" i="2"/>
  <c r="Y21" i="2"/>
  <c r="Y20" i="2"/>
  <c r="Y18" i="2"/>
  <c r="B6" i="4" s="1"/>
  <c r="F21" i="4" s="1"/>
  <c r="X14" i="2"/>
  <c r="Y13" i="2"/>
  <c r="Y12" i="2"/>
  <c r="Y11" i="2"/>
  <c r="Y10" i="2"/>
  <c r="Y9" i="2"/>
  <c r="Y8" i="2"/>
  <c r="Y7" i="2"/>
  <c r="Y6" i="2"/>
  <c r="Y5" i="2"/>
  <c r="Y4" i="2"/>
  <c r="Y3" i="2"/>
  <c r="Y2" i="2"/>
  <c r="W57" i="2"/>
  <c r="W56" i="2"/>
  <c r="W55" i="2"/>
  <c r="W54" i="2"/>
  <c r="W53" i="2"/>
  <c r="W52" i="2"/>
  <c r="W51" i="2"/>
  <c r="W50" i="2"/>
  <c r="W49" i="2"/>
  <c r="W48" i="2"/>
  <c r="W47" i="2"/>
  <c r="W45" i="2"/>
  <c r="D8" i="4" s="1"/>
  <c r="W42" i="2"/>
  <c r="W41" i="2"/>
  <c r="W40" i="2"/>
  <c r="W39" i="2"/>
  <c r="W38" i="2"/>
  <c r="W37" i="2"/>
  <c r="W36" i="2"/>
  <c r="W35" i="2"/>
  <c r="W34" i="2"/>
  <c r="W33" i="2"/>
  <c r="W30" i="2"/>
  <c r="W29" i="2"/>
  <c r="W28" i="2"/>
  <c r="W27" i="2"/>
  <c r="W26" i="2"/>
  <c r="W25" i="2"/>
  <c r="W24" i="2"/>
  <c r="W23" i="2"/>
  <c r="W22" i="2"/>
  <c r="W21" i="2"/>
  <c r="W20" i="2"/>
  <c r="W18" i="2"/>
  <c r="W13" i="2"/>
  <c r="W12" i="2"/>
  <c r="W11" i="2"/>
  <c r="W10" i="2"/>
  <c r="W9" i="2"/>
  <c r="W8" i="2"/>
  <c r="W7" i="2"/>
  <c r="W6" i="2"/>
  <c r="W5" i="2"/>
  <c r="W4" i="2"/>
  <c r="W3" i="2"/>
  <c r="W2" i="2"/>
  <c r="U48" i="2"/>
  <c r="U49" i="2"/>
  <c r="U50" i="2"/>
  <c r="U51" i="2"/>
  <c r="U52" i="2"/>
  <c r="U53" i="2"/>
  <c r="U54" i="2"/>
  <c r="U55" i="2"/>
  <c r="U56" i="2"/>
  <c r="U57" i="2"/>
  <c r="U47" i="2"/>
  <c r="U45" i="2"/>
  <c r="F8" i="4" s="1"/>
  <c r="U34" i="2"/>
  <c r="U35" i="2"/>
  <c r="U36" i="2"/>
  <c r="U37" i="2"/>
  <c r="U38" i="2"/>
  <c r="U39" i="2"/>
  <c r="U40" i="2"/>
  <c r="U41" i="2"/>
  <c r="U42" i="2"/>
  <c r="U33" i="2"/>
  <c r="U21" i="2"/>
  <c r="U22" i="2"/>
  <c r="U23" i="2"/>
  <c r="U24" i="2"/>
  <c r="U25" i="2"/>
  <c r="U26" i="2"/>
  <c r="U27" i="2"/>
  <c r="U28" i="2"/>
  <c r="U29" i="2"/>
  <c r="U30" i="2"/>
  <c r="U20" i="2"/>
  <c r="U18" i="2"/>
  <c r="F6" i="4" s="1"/>
  <c r="C122" i="4" s="1"/>
  <c r="U3" i="2"/>
  <c r="U4" i="2"/>
  <c r="U5" i="2"/>
  <c r="U6" i="2"/>
  <c r="U7" i="2"/>
  <c r="U8" i="2"/>
  <c r="U9" i="2"/>
  <c r="U10" i="2"/>
  <c r="U11" i="2"/>
  <c r="U12" i="2"/>
  <c r="U13" i="2"/>
  <c r="U2" i="2"/>
  <c r="S58" i="2"/>
  <c r="S43" i="2"/>
  <c r="S31" i="2"/>
  <c r="S14" i="2"/>
  <c r="V58" i="2"/>
  <c r="AC10" i="4" s="1"/>
  <c r="V43" i="2"/>
  <c r="W43" i="2" s="1"/>
  <c r="V31" i="2"/>
  <c r="AC7" i="4" s="1"/>
  <c r="V14" i="2"/>
  <c r="AC4" i="4" s="1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C66" i="5"/>
  <c r="C65" i="5"/>
  <c r="S109" i="4"/>
  <c r="S107" i="4"/>
  <c r="AM94" i="4"/>
  <c r="AC94" i="4"/>
  <c r="S94" i="4"/>
  <c r="W94" i="4" s="1"/>
  <c r="AC92" i="4"/>
  <c r="S92" i="4"/>
  <c r="AM80" i="4"/>
  <c r="AC80" i="4"/>
  <c r="S80" i="4"/>
  <c r="AM78" i="4"/>
  <c r="AC78" i="4"/>
  <c r="S78" i="4"/>
  <c r="AM66" i="4"/>
  <c r="AQ66" i="4" s="1"/>
  <c r="AC66" i="4"/>
  <c r="S66" i="4"/>
  <c r="AM64" i="4"/>
  <c r="AC64" i="4"/>
  <c r="S64" i="4"/>
  <c r="AM52" i="4"/>
  <c r="AC52" i="4"/>
  <c r="AG52" i="4" s="1"/>
  <c r="S52" i="4"/>
  <c r="W52" i="4" s="1"/>
  <c r="AM50" i="4"/>
  <c r="AC50" i="4"/>
  <c r="S50" i="4"/>
  <c r="S38" i="4"/>
  <c r="S36" i="4"/>
  <c r="AC23" i="4"/>
  <c r="S23" i="4"/>
  <c r="Y38" i="4" s="1"/>
  <c r="AC21" i="4"/>
  <c r="S21" i="4"/>
  <c r="S20" i="4"/>
  <c r="AC8" i="4"/>
  <c r="S8" i="4"/>
  <c r="W8" i="4" s="1"/>
  <c r="AC6" i="4"/>
  <c r="AI6" i="4" s="1"/>
  <c r="S6" i="4"/>
  <c r="AZ73" i="2"/>
  <c r="AH73" i="2"/>
  <c r="AM43" i="4" s="1"/>
  <c r="AQ43" i="4" s="1"/>
  <c r="AF73" i="2"/>
  <c r="AD73" i="2"/>
  <c r="S43" i="4" s="1"/>
  <c r="P73" i="2"/>
  <c r="O73" i="2"/>
  <c r="N73" i="2"/>
  <c r="M73" i="2"/>
  <c r="L73" i="2"/>
  <c r="K73" i="2"/>
  <c r="J73" i="2"/>
  <c r="I73" i="2"/>
  <c r="H73" i="2"/>
  <c r="G73" i="2"/>
  <c r="F73" i="2"/>
  <c r="E73" i="2"/>
  <c r="K101" i="4"/>
  <c r="AI73" i="2"/>
  <c r="L43" i="4" s="1"/>
  <c r="AE73" i="2"/>
  <c r="R66" i="2"/>
  <c r="Q66" i="2"/>
  <c r="Q73" i="2" s="1"/>
  <c r="BH73" i="2"/>
  <c r="BF73" i="2"/>
  <c r="BB73" i="2"/>
  <c r="AX73" i="2"/>
  <c r="AT73" i="2"/>
  <c r="AP73" i="2"/>
  <c r="AL73" i="2"/>
  <c r="AJ73" i="2"/>
  <c r="R65" i="2"/>
  <c r="AC82" i="4"/>
  <c r="T58" i="2"/>
  <c r="R58" i="2"/>
  <c r="Q58" i="2"/>
  <c r="O58" i="2"/>
  <c r="N58" i="2"/>
  <c r="M58" i="2"/>
  <c r="L58" i="2"/>
  <c r="K58" i="2"/>
  <c r="J58" i="2"/>
  <c r="I58" i="2"/>
  <c r="H58" i="2"/>
  <c r="G58" i="2"/>
  <c r="F58" i="2"/>
  <c r="E58" i="2"/>
  <c r="D124" i="4"/>
  <c r="AM81" i="4"/>
  <c r="AM53" i="4"/>
  <c r="S53" i="4"/>
  <c r="T43" i="2"/>
  <c r="R43" i="2"/>
  <c r="Q43" i="2"/>
  <c r="O43" i="2"/>
  <c r="N43" i="2"/>
  <c r="M43" i="2"/>
  <c r="L43" i="2"/>
  <c r="K43" i="2"/>
  <c r="J43" i="2"/>
  <c r="I43" i="2"/>
  <c r="H43" i="2"/>
  <c r="G43" i="2"/>
  <c r="F43" i="2"/>
  <c r="E43" i="2"/>
  <c r="S93" i="4"/>
  <c r="AM79" i="4"/>
  <c r="S79" i="4"/>
  <c r="T31" i="2"/>
  <c r="R31" i="2"/>
  <c r="Q31" i="2"/>
  <c r="O31" i="2"/>
  <c r="N31" i="2"/>
  <c r="M31" i="2"/>
  <c r="L31" i="2"/>
  <c r="K31" i="2"/>
  <c r="J31" i="2"/>
  <c r="I31" i="2"/>
  <c r="H31" i="2"/>
  <c r="G31" i="2"/>
  <c r="F31" i="2"/>
  <c r="E31" i="2"/>
  <c r="D122" i="4"/>
  <c r="AB92" i="4"/>
  <c r="K36" i="4"/>
  <c r="B21" i="4"/>
  <c r="D36" i="4" s="1"/>
  <c r="S106" i="4"/>
  <c r="AM91" i="4"/>
  <c r="AC91" i="4"/>
  <c r="S91" i="4"/>
  <c r="AM77" i="4"/>
  <c r="AQ77" i="4" s="1"/>
  <c r="AC77" i="4"/>
  <c r="S77" i="4"/>
  <c r="AM63" i="4"/>
  <c r="S63" i="4"/>
  <c r="AC49" i="4"/>
  <c r="K35" i="4"/>
  <c r="AC5" i="4"/>
  <c r="AM90" i="4"/>
  <c r="AM62" i="4"/>
  <c r="AC48" i="4"/>
  <c r="T14" i="2"/>
  <c r="U14" i="2" s="1"/>
  <c r="R14" i="2"/>
  <c r="Q14" i="2"/>
  <c r="O14" i="2"/>
  <c r="N14" i="2"/>
  <c r="M14" i="2"/>
  <c r="L14" i="2"/>
  <c r="K14" i="2"/>
  <c r="J14" i="2"/>
  <c r="I14" i="2"/>
  <c r="H14" i="2"/>
  <c r="G14" i="2"/>
  <c r="F14" i="2"/>
  <c r="E14" i="2"/>
  <c r="BK14" i="2" l="1"/>
  <c r="S35" i="4"/>
  <c r="AO14" i="2"/>
  <c r="AM14" i="2"/>
  <c r="AU14" i="2"/>
  <c r="BC14" i="2"/>
  <c r="BE14" i="2"/>
  <c r="BG14" i="2"/>
  <c r="BI14" i="2"/>
  <c r="S90" i="4"/>
  <c r="AY14" i="2"/>
  <c r="AS63" i="4"/>
  <c r="AK31" i="2"/>
  <c r="AS31" i="2"/>
  <c r="Y31" i="2"/>
  <c r="AA31" i="2"/>
  <c r="AI31" i="2"/>
  <c r="AL37" i="4" s="1"/>
  <c r="AP37" i="4" s="1"/>
  <c r="AQ31" i="2"/>
  <c r="U31" i="2"/>
  <c r="K38" i="4"/>
  <c r="B8" i="4"/>
  <c r="F23" i="4" s="1"/>
  <c r="S60" i="2"/>
  <c r="AK14" i="2"/>
  <c r="R48" i="4" s="1"/>
  <c r="AO31" i="2"/>
  <c r="AS14" i="2"/>
  <c r="AW31" i="2"/>
  <c r="AE31" i="2"/>
  <c r="AW14" i="2"/>
  <c r="AM31" i="2"/>
  <c r="AQ14" i="2"/>
  <c r="AU31" i="2"/>
  <c r="AN60" i="2"/>
  <c r="AC41" i="4" s="1"/>
  <c r="AG41" i="4" s="1"/>
  <c r="AP60" i="2"/>
  <c r="AQ60" i="2" s="1"/>
  <c r="AS66" i="2"/>
  <c r="BH76" i="2"/>
  <c r="BB75" i="2"/>
  <c r="AL75" i="2"/>
  <c r="S65" i="4"/>
  <c r="W65" i="4" s="1"/>
  <c r="S5" i="4"/>
  <c r="AI4" i="4"/>
  <c r="AA14" i="2"/>
  <c r="AC31" i="2"/>
  <c r="AE14" i="2"/>
  <c r="AG43" i="2"/>
  <c r="AB39" i="4" s="1"/>
  <c r="AF39" i="4" s="1"/>
  <c r="AW43" i="2"/>
  <c r="B81" i="4" s="1"/>
  <c r="D95" i="4" s="1"/>
  <c r="AY43" i="2"/>
  <c r="BA43" i="2"/>
  <c r="BC43" i="2"/>
  <c r="BE43" i="2"/>
  <c r="K95" i="4" s="1"/>
  <c r="BG43" i="2"/>
  <c r="BI43" i="2"/>
  <c r="BK43" i="2"/>
  <c r="D125" i="4" s="1"/>
  <c r="AK66" i="2"/>
  <c r="AU66" i="2"/>
  <c r="AY66" i="2"/>
  <c r="BC66" i="2"/>
  <c r="BG66" i="2"/>
  <c r="BH75" i="2"/>
  <c r="AZ75" i="2"/>
  <c r="AJ75" i="2"/>
  <c r="AC37" i="4"/>
  <c r="AG37" i="4" s="1"/>
  <c r="AL43" i="4"/>
  <c r="AP43" i="4" s="1"/>
  <c r="AJ60" i="2"/>
  <c r="AT60" i="2"/>
  <c r="AU60" i="2" s="1"/>
  <c r="S73" i="2"/>
  <c r="BJ75" i="2"/>
  <c r="AT75" i="2"/>
  <c r="AC40" i="4"/>
  <c r="AG40" i="4" s="1"/>
  <c r="L36" i="4"/>
  <c r="AC22" i="4"/>
  <c r="AG22" i="4" s="1"/>
  <c r="AC65" i="4"/>
  <c r="AG65" i="4" s="1"/>
  <c r="R73" i="2"/>
  <c r="Y14" i="2"/>
  <c r="AA43" i="2"/>
  <c r="AE43" i="2"/>
  <c r="AG31" i="2"/>
  <c r="AB37" i="4" s="1"/>
  <c r="AI14" i="2"/>
  <c r="AL34" i="4" s="1"/>
  <c r="AP34" i="4" s="1"/>
  <c r="AV60" i="2"/>
  <c r="AW60" i="2" s="1"/>
  <c r="AY31" i="2"/>
  <c r="AB79" i="4" s="1"/>
  <c r="AX60" i="2"/>
  <c r="AY60" i="2" s="1"/>
  <c r="BA31" i="2"/>
  <c r="AZ60" i="2"/>
  <c r="BA60" i="2" s="1"/>
  <c r="BC31" i="2"/>
  <c r="BB60" i="2"/>
  <c r="BC60" i="2" s="1"/>
  <c r="BE31" i="2"/>
  <c r="BG31" i="2"/>
  <c r="BF60" i="2"/>
  <c r="BG60" i="2" s="1"/>
  <c r="BI31" i="2"/>
  <c r="BH60" i="2"/>
  <c r="BI60" i="2" s="1"/>
  <c r="BK31" i="2"/>
  <c r="D123" i="4" s="1"/>
  <c r="BJ60" i="2"/>
  <c r="BK60" i="2" s="1"/>
  <c r="AM66" i="2"/>
  <c r="AW66" i="2"/>
  <c r="BF75" i="2"/>
  <c r="AX75" i="2"/>
  <c r="AP75" i="2"/>
  <c r="AL60" i="2"/>
  <c r="AM60" i="2" s="1"/>
  <c r="S51" i="4"/>
  <c r="W51" i="4" s="1"/>
  <c r="AM65" i="4"/>
  <c r="U58" i="2"/>
  <c r="AM68" i="4"/>
  <c r="AS68" i="4" s="1"/>
  <c r="Y43" i="2"/>
  <c r="AC43" i="2"/>
  <c r="AI43" i="2"/>
  <c r="AL39" i="4" s="1"/>
  <c r="AP39" i="4" s="1"/>
  <c r="AK43" i="2"/>
  <c r="B53" i="4" s="1"/>
  <c r="D67" i="4" s="1"/>
  <c r="AM43" i="2"/>
  <c r="AO43" i="2"/>
  <c r="L53" i="4" s="1"/>
  <c r="AQ43" i="2"/>
  <c r="AS43" i="2"/>
  <c r="K67" i="4" s="1"/>
  <c r="AU43" i="2"/>
  <c r="AO66" i="2"/>
  <c r="AQ66" i="2"/>
  <c r="BA66" i="2"/>
  <c r="BE66" i="2"/>
  <c r="AP76" i="2"/>
  <c r="AC39" i="4"/>
  <c r="AG39" i="4" s="1"/>
  <c r="AL38" i="4"/>
  <c r="AR38" i="4" s="1"/>
  <c r="AI35" i="4"/>
  <c r="AI36" i="4"/>
  <c r="AI38" i="4"/>
  <c r="AG4" i="4"/>
  <c r="AM34" i="4"/>
  <c r="AQ34" i="4" s="1"/>
  <c r="AM39" i="4"/>
  <c r="AQ39" i="4" s="1"/>
  <c r="AM37" i="4"/>
  <c r="AP36" i="4"/>
  <c r="AP35" i="4"/>
  <c r="L35" i="4"/>
  <c r="AQ35" i="4"/>
  <c r="AR36" i="4"/>
  <c r="AB43" i="4"/>
  <c r="AF43" i="4" s="1"/>
  <c r="AG14" i="2"/>
  <c r="AB34" i="4" s="1"/>
  <c r="AF34" i="4" s="1"/>
  <c r="AF38" i="4"/>
  <c r="AR35" i="4"/>
  <c r="AF35" i="4"/>
  <c r="AG36" i="4"/>
  <c r="AF36" i="4"/>
  <c r="AG34" i="4"/>
  <c r="AF37" i="4"/>
  <c r="AS35" i="4"/>
  <c r="AS36" i="4"/>
  <c r="AS38" i="4"/>
  <c r="AF60" i="2"/>
  <c r="AG60" i="2" s="1"/>
  <c r="AB41" i="4" s="1"/>
  <c r="AF41" i="4" s="1"/>
  <c r="S34" i="4"/>
  <c r="W34" i="4" s="1"/>
  <c r="AD60" i="2"/>
  <c r="AE60" i="2" s="1"/>
  <c r="AH60" i="2"/>
  <c r="AM41" i="4" s="1"/>
  <c r="S24" i="4"/>
  <c r="W24" i="4" s="1"/>
  <c r="S22" i="4"/>
  <c r="W22" i="4" s="1"/>
  <c r="AB60" i="2"/>
  <c r="AC60" i="2" s="1"/>
  <c r="AC19" i="4"/>
  <c r="AG19" i="4" s="1"/>
  <c r="S7" i="4"/>
  <c r="W7" i="4" s="1"/>
  <c r="S9" i="4"/>
  <c r="W9" i="4" s="1"/>
  <c r="X60" i="2"/>
  <c r="S10" i="4"/>
  <c r="Y10" i="4" s="1"/>
  <c r="W14" i="2"/>
  <c r="W31" i="2"/>
  <c r="W58" i="2"/>
  <c r="Y60" i="2"/>
  <c r="U43" i="2"/>
  <c r="F9" i="4" s="1"/>
  <c r="C125" i="4" s="1"/>
  <c r="W43" i="4"/>
  <c r="W5" i="4"/>
  <c r="W20" i="4"/>
  <c r="AG23" i="4"/>
  <c r="AG66" i="4"/>
  <c r="AQ80" i="4"/>
  <c r="AG7" i="4"/>
  <c r="AQ62" i="4"/>
  <c r="AG50" i="4"/>
  <c r="AG80" i="4"/>
  <c r="AG94" i="4"/>
  <c r="BK58" i="2"/>
  <c r="D126" i="4" s="1"/>
  <c r="S111" i="4"/>
  <c r="W111" i="4" s="1"/>
  <c r="BI58" i="2"/>
  <c r="BG58" i="2"/>
  <c r="BE58" i="2"/>
  <c r="BD60" i="2"/>
  <c r="BE60" i="2" s="1"/>
  <c r="BC58" i="2"/>
  <c r="S96" i="4"/>
  <c r="W96" i="4" s="1"/>
  <c r="AM82" i="4"/>
  <c r="AS82" i="4" s="1"/>
  <c r="BA58" i="2"/>
  <c r="AY58" i="2"/>
  <c r="AW58" i="2"/>
  <c r="AU58" i="2"/>
  <c r="AS58" i="2"/>
  <c r="AR60" i="2"/>
  <c r="AS60" i="2" s="1"/>
  <c r="AQ58" i="2"/>
  <c r="S68" i="4"/>
  <c r="AI68" i="4" s="1"/>
  <c r="AM54" i="4"/>
  <c r="AS54" i="4" s="1"/>
  <c r="AO58" i="2"/>
  <c r="AM58" i="2"/>
  <c r="AS50" i="4"/>
  <c r="AK58" i="2"/>
  <c r="AI58" i="2"/>
  <c r="AL40" i="4" s="1"/>
  <c r="AP40" i="4" s="1"/>
  <c r="AG58" i="2"/>
  <c r="S37" i="4"/>
  <c r="AE58" i="2"/>
  <c r="S40" i="4"/>
  <c r="W40" i="4" s="1"/>
  <c r="AC58" i="2"/>
  <c r="Z60" i="2"/>
  <c r="AA60" i="2" s="1"/>
  <c r="AA58" i="2"/>
  <c r="Y58" i="2"/>
  <c r="AB8" i="4"/>
  <c r="V60" i="2"/>
  <c r="W60" i="2" s="1"/>
  <c r="Y80" i="4"/>
  <c r="Y92" i="4"/>
  <c r="AS64" i="4"/>
  <c r="AI66" i="4"/>
  <c r="AN73" i="2"/>
  <c r="K39" i="4"/>
  <c r="AS66" i="4"/>
  <c r="D120" i="4"/>
  <c r="G60" i="2"/>
  <c r="K60" i="2"/>
  <c r="O60" i="2"/>
  <c r="AI10" i="4"/>
  <c r="Y21" i="4"/>
  <c r="AI79" i="4"/>
  <c r="Y25" i="4"/>
  <c r="Y50" i="4"/>
  <c r="AS78" i="4"/>
  <c r="AC20" i="4"/>
  <c r="B66" i="4"/>
  <c r="D80" i="4" s="1"/>
  <c r="AG79" i="4"/>
  <c r="AI92" i="4"/>
  <c r="AL77" i="4"/>
  <c r="BD73" i="2"/>
  <c r="Y6" i="4"/>
  <c r="R21" i="4"/>
  <c r="X21" i="4" s="1"/>
  <c r="W25" i="4"/>
  <c r="AI50" i="4"/>
  <c r="AI78" i="4"/>
  <c r="AI80" i="4"/>
  <c r="AS80" i="4"/>
  <c r="B63" i="4"/>
  <c r="D77" i="4" s="1"/>
  <c r="Y8" i="4"/>
  <c r="L50" i="4"/>
  <c r="K52" i="4"/>
  <c r="AI64" i="4"/>
  <c r="L34" i="4"/>
  <c r="F4" i="4"/>
  <c r="C120" i="4" s="1"/>
  <c r="L39" i="4"/>
  <c r="AB67" i="4"/>
  <c r="AV73" i="2"/>
  <c r="AV75" i="2" s="1"/>
  <c r="Y23" i="4"/>
  <c r="AI23" i="4"/>
  <c r="AS52" i="4"/>
  <c r="Y94" i="4"/>
  <c r="S105" i="4"/>
  <c r="W63" i="4"/>
  <c r="AC9" i="4"/>
  <c r="R109" i="4"/>
  <c r="B109" i="4"/>
  <c r="F124" i="4" s="1"/>
  <c r="E60" i="2"/>
  <c r="R60" i="2"/>
  <c r="S71" i="4"/>
  <c r="S57" i="4"/>
  <c r="AM85" i="4"/>
  <c r="AG48" i="4"/>
  <c r="R5" i="4"/>
  <c r="B5" i="4"/>
  <c r="F20" i="4" s="1"/>
  <c r="R77" i="4"/>
  <c r="B77" i="4"/>
  <c r="D91" i="4" s="1"/>
  <c r="AB6" i="4"/>
  <c r="D6" i="4"/>
  <c r="R36" i="4"/>
  <c r="AH36" i="4" s="1"/>
  <c r="B36" i="4"/>
  <c r="D50" i="4" s="1"/>
  <c r="K50" i="4"/>
  <c r="AB50" i="4"/>
  <c r="AR50" i="4" s="1"/>
  <c r="L64" i="4"/>
  <c r="AL64" i="4"/>
  <c r="R92" i="4"/>
  <c r="AH92" i="4" s="1"/>
  <c r="B92" i="4"/>
  <c r="D107" i="4" s="1"/>
  <c r="F7" i="4"/>
  <c r="C123" i="4" s="1"/>
  <c r="B110" i="4"/>
  <c r="F125" i="4" s="1"/>
  <c r="R110" i="4"/>
  <c r="AC81" i="4"/>
  <c r="AS81" i="4" s="1"/>
  <c r="F60" i="2"/>
  <c r="J60" i="2"/>
  <c r="N60" i="2"/>
  <c r="T60" i="2"/>
  <c r="U60" i="2" s="1"/>
  <c r="S99" i="4"/>
  <c r="S19" i="4"/>
  <c r="AC62" i="4"/>
  <c r="AS62" i="4" s="1"/>
  <c r="S49" i="4"/>
  <c r="AI49" i="4" s="1"/>
  <c r="L37" i="4"/>
  <c r="AC53" i="4"/>
  <c r="AS53" i="4" s="1"/>
  <c r="R52" i="4"/>
  <c r="AH52" i="4" s="1"/>
  <c r="B52" i="4"/>
  <c r="D66" i="4" s="1"/>
  <c r="K66" i="4"/>
  <c r="AB66" i="4"/>
  <c r="I60" i="2"/>
  <c r="M60" i="2"/>
  <c r="L40" i="4"/>
  <c r="AM99" i="4"/>
  <c r="S4" i="4"/>
  <c r="AM48" i="4"/>
  <c r="S76" i="4"/>
  <c r="AC90" i="4"/>
  <c r="AB20" i="4"/>
  <c r="D20" i="4"/>
  <c r="K63" i="4"/>
  <c r="B106" i="4"/>
  <c r="F121" i="4" s="1"/>
  <c r="R106" i="4"/>
  <c r="K37" i="4"/>
  <c r="S39" i="4"/>
  <c r="AM67" i="4"/>
  <c r="C124" i="4"/>
  <c r="AC57" i="4"/>
  <c r="AC85" i="4"/>
  <c r="S114" i="4"/>
  <c r="S48" i="4"/>
  <c r="AI48" i="4" s="1"/>
  <c r="AM76" i="4"/>
  <c r="R35" i="4"/>
  <c r="AH35" i="4" s="1"/>
  <c r="B35" i="4"/>
  <c r="D49" i="4" s="1"/>
  <c r="L77" i="4"/>
  <c r="S95" i="4"/>
  <c r="AI95" i="4" s="1"/>
  <c r="R23" i="4"/>
  <c r="B23" i="4"/>
  <c r="D38" i="4" s="1"/>
  <c r="AL80" i="4"/>
  <c r="L80" i="4"/>
  <c r="AI5" i="4"/>
  <c r="AG5" i="4"/>
  <c r="AM49" i="4"/>
  <c r="AB91" i="4"/>
  <c r="K91" i="4"/>
  <c r="AF21" i="4"/>
  <c r="AC24" i="4"/>
  <c r="S67" i="4"/>
  <c r="AI67" i="4" s="1"/>
  <c r="AM95" i="4"/>
  <c r="Y110" i="4" s="1"/>
  <c r="H60" i="2"/>
  <c r="L60" i="2"/>
  <c r="Q60" i="2"/>
  <c r="AM71" i="4"/>
  <c r="R43" i="4"/>
  <c r="V43" i="4" s="1"/>
  <c r="B43" i="4"/>
  <c r="D57" i="4" s="1"/>
  <c r="AG10" i="4"/>
  <c r="AI77" i="4"/>
  <c r="AG77" i="4"/>
  <c r="Y91" i="4"/>
  <c r="W91" i="4"/>
  <c r="AS91" i="4"/>
  <c r="AQ91" i="4"/>
  <c r="AP50" i="4"/>
  <c r="B78" i="4"/>
  <c r="D92" i="4" s="1"/>
  <c r="R78" i="4"/>
  <c r="AF92" i="4"/>
  <c r="AQ51" i="4"/>
  <c r="W79" i="4"/>
  <c r="AQ79" i="4"/>
  <c r="AS79" i="4"/>
  <c r="AG93" i="4"/>
  <c r="AI93" i="4"/>
  <c r="B38" i="4"/>
  <c r="D52" i="4" s="1"/>
  <c r="R38" i="4"/>
  <c r="AH38" i="4" s="1"/>
  <c r="AF52" i="4"/>
  <c r="AL66" i="4"/>
  <c r="L66" i="4"/>
  <c r="R94" i="4"/>
  <c r="B94" i="4"/>
  <c r="D109" i="4" s="1"/>
  <c r="W54" i="4"/>
  <c r="AG68" i="4"/>
  <c r="AG96" i="4"/>
  <c r="AI7" i="4"/>
  <c r="W21" i="4"/>
  <c r="AQ63" i="4"/>
  <c r="S82" i="4"/>
  <c r="AI82" i="4" s="1"/>
  <c r="W6" i="4"/>
  <c r="W62" i="4"/>
  <c r="W90" i="4"/>
  <c r="AQ90" i="4"/>
  <c r="AG49" i="4"/>
  <c r="B64" i="4"/>
  <c r="D78" i="4" s="1"/>
  <c r="R64" i="4"/>
  <c r="AH64" i="4" s="1"/>
  <c r="K92" i="4"/>
  <c r="AB78" i="4"/>
  <c r="K78" i="4"/>
  <c r="W53" i="4"/>
  <c r="AG67" i="4"/>
  <c r="W81" i="4"/>
  <c r="AQ81" i="4"/>
  <c r="AG95" i="4"/>
  <c r="W110" i="4"/>
  <c r="AL52" i="4"/>
  <c r="L52" i="4"/>
  <c r="R80" i="4"/>
  <c r="B80" i="4"/>
  <c r="D94" i="4" s="1"/>
  <c r="AB94" i="4"/>
  <c r="K94" i="4"/>
  <c r="F10" i="4"/>
  <c r="C126" i="4" s="1"/>
  <c r="Y5" i="4"/>
  <c r="AG6" i="4"/>
  <c r="D21" i="4"/>
  <c r="AQ53" i="4"/>
  <c r="AB80" i="4"/>
  <c r="AL90" i="4"/>
  <c r="R20" i="4"/>
  <c r="B20" i="4"/>
  <c r="D35" i="4" s="1"/>
  <c r="K49" i="4"/>
  <c r="AB49" i="4"/>
  <c r="R63" i="4"/>
  <c r="Y77" i="4"/>
  <c r="W77" i="4"/>
  <c r="AS77" i="4"/>
  <c r="AI91" i="4"/>
  <c r="AG91" i="4"/>
  <c r="Y106" i="4"/>
  <c r="B50" i="4"/>
  <c r="D64" i="4" s="1"/>
  <c r="R50" i="4"/>
  <c r="AF64" i="4"/>
  <c r="L78" i="4"/>
  <c r="AL78" i="4"/>
  <c r="B107" i="4"/>
  <c r="F122" i="4" s="1"/>
  <c r="R107" i="4"/>
  <c r="W93" i="4"/>
  <c r="Y93" i="4"/>
  <c r="AM93" i="4"/>
  <c r="AM92" i="4"/>
  <c r="Y107" i="4" s="1"/>
  <c r="R9" i="4"/>
  <c r="B9" i="4"/>
  <c r="F24" i="4" s="1"/>
  <c r="D23" i="4"/>
  <c r="AB23" i="4"/>
  <c r="V66" i="4"/>
  <c r="AL94" i="4"/>
  <c r="L94" i="4"/>
  <c r="AG25" i="4"/>
  <c r="AG54" i="4"/>
  <c r="AI54" i="4"/>
  <c r="AG82" i="4"/>
  <c r="AQ96" i="4"/>
  <c r="AS96" i="4"/>
  <c r="R6" i="4"/>
  <c r="AH21" i="4" s="1"/>
  <c r="V8" i="4"/>
  <c r="Y35" i="4"/>
  <c r="AI21" i="4"/>
  <c r="AG21" i="4"/>
  <c r="K64" i="4"/>
  <c r="Y66" i="4"/>
  <c r="Y52" i="4"/>
  <c r="W107" i="4"/>
  <c r="W36" i="4"/>
  <c r="W50" i="4"/>
  <c r="AQ50" i="4"/>
  <c r="AI52" i="4"/>
  <c r="AQ52" i="4"/>
  <c r="W23" i="4"/>
  <c r="W35" i="4"/>
  <c r="Y36" i="4"/>
  <c r="W38" i="4"/>
  <c r="AQ64" i="4"/>
  <c r="AG64" i="4"/>
  <c r="AS94" i="4"/>
  <c r="AQ94" i="4"/>
  <c r="Y109" i="4"/>
  <c r="W109" i="4"/>
  <c r="W106" i="4"/>
  <c r="W108" i="4"/>
  <c r="Y64" i="4"/>
  <c r="W64" i="4"/>
  <c r="AQ78" i="4"/>
  <c r="W92" i="4"/>
  <c r="AG78" i="4"/>
  <c r="W80" i="4"/>
  <c r="AG92" i="4"/>
  <c r="W66" i="4"/>
  <c r="Y78" i="4"/>
  <c r="W78" i="4"/>
  <c r="AI94" i="4"/>
  <c r="S85" i="4" l="1"/>
  <c r="Y111" i="4"/>
  <c r="AR37" i="4"/>
  <c r="K34" i="4"/>
  <c r="AR39" i="4"/>
  <c r="AK60" i="2"/>
  <c r="AP38" i="4"/>
  <c r="Y90" i="4"/>
  <c r="AI96" i="4"/>
  <c r="AQ73" i="2"/>
  <c r="B71" i="4" s="1"/>
  <c r="D85" i="4" s="1"/>
  <c r="BA73" i="2"/>
  <c r="K79" i="4"/>
  <c r="AU73" i="2"/>
  <c r="AL71" i="4" s="1"/>
  <c r="AQ68" i="4"/>
  <c r="AS65" i="4"/>
  <c r="AS73" i="2"/>
  <c r="K71" i="4" s="1"/>
  <c r="AQ65" i="4"/>
  <c r="AI20" i="4"/>
  <c r="Y79" i="4"/>
  <c r="AI65" i="4"/>
  <c r="AQ54" i="4"/>
  <c r="AL53" i="4"/>
  <c r="AP53" i="4" s="1"/>
  <c r="AI37" i="4"/>
  <c r="AS37" i="4"/>
  <c r="AO60" i="2"/>
  <c r="AS40" i="4"/>
  <c r="AS41" i="4"/>
  <c r="AM73" i="2"/>
  <c r="AB57" i="4" s="1"/>
  <c r="AK73" i="2"/>
  <c r="R57" i="4" s="1"/>
  <c r="AN75" i="2"/>
  <c r="AO73" i="2"/>
  <c r="AL57" i="4" s="1"/>
  <c r="R53" i="4"/>
  <c r="V53" i="4" s="1"/>
  <c r="Y65" i="4"/>
  <c r="AM57" i="4"/>
  <c r="AS57" i="4" s="1"/>
  <c r="BI73" i="2"/>
  <c r="B114" i="4" s="1"/>
  <c r="F129" i="4" s="1"/>
  <c r="BE73" i="2"/>
  <c r="K99" i="4" s="1"/>
  <c r="AY73" i="2"/>
  <c r="K85" i="4" s="1"/>
  <c r="AQ37" i="4"/>
  <c r="L85" i="4"/>
  <c r="AR75" i="2"/>
  <c r="BG73" i="2"/>
  <c r="L99" i="4" s="1"/>
  <c r="AW73" i="2"/>
  <c r="B85" i="4" s="1"/>
  <c r="D99" i="4" s="1"/>
  <c r="BB76" i="2"/>
  <c r="AC43" i="4"/>
  <c r="AG43" i="4" s="1"/>
  <c r="BD75" i="2"/>
  <c r="AV76" i="2"/>
  <c r="BC73" i="2"/>
  <c r="B99" i="4" s="1"/>
  <c r="D114" i="4" s="1"/>
  <c r="AG20" i="4"/>
  <c r="AQ82" i="4"/>
  <c r="Y54" i="4"/>
  <c r="W68" i="4"/>
  <c r="W37" i="4"/>
  <c r="Y9" i="4"/>
  <c r="AI34" i="4"/>
  <c r="Y68" i="4"/>
  <c r="Y51" i="4"/>
  <c r="AS39" i="4"/>
  <c r="Y20" i="4"/>
  <c r="Y53" i="4"/>
  <c r="AI39" i="4"/>
  <c r="AI40" i="4"/>
  <c r="AS34" i="4"/>
  <c r="AI60" i="2"/>
  <c r="AL41" i="4" s="1"/>
  <c r="AP41" i="4" s="1"/>
  <c r="AQ41" i="4"/>
  <c r="AR34" i="4"/>
  <c r="K40" i="4"/>
  <c r="AB40" i="4"/>
  <c r="Y34" i="4"/>
  <c r="Y40" i="4"/>
  <c r="Y37" i="4"/>
  <c r="Y22" i="4"/>
  <c r="Y24" i="4"/>
  <c r="AH61" i="2"/>
  <c r="AI19" i="4"/>
  <c r="AI22" i="4"/>
  <c r="Y7" i="4"/>
  <c r="W10" i="4"/>
  <c r="AI25" i="4"/>
  <c r="AF67" i="4"/>
  <c r="K100" i="4"/>
  <c r="AC99" i="4"/>
  <c r="AG99" i="4" s="1"/>
  <c r="X8" i="4"/>
  <c r="AB95" i="4"/>
  <c r="AF95" i="4" s="1"/>
  <c r="AI76" i="4"/>
  <c r="R81" i="4"/>
  <c r="Y62" i="4"/>
  <c r="V21" i="4"/>
  <c r="AL81" i="4"/>
  <c r="AP81" i="4" s="1"/>
  <c r="L81" i="4"/>
  <c r="D5" i="4"/>
  <c r="AC71" i="4"/>
  <c r="AI71" i="4" s="1"/>
  <c r="BJ61" i="2"/>
  <c r="R24" i="4"/>
  <c r="V24" i="4" s="1"/>
  <c r="B24" i="4"/>
  <c r="D39" i="4" s="1"/>
  <c r="AC69" i="4"/>
  <c r="AR61" i="2"/>
  <c r="AQ93" i="4"/>
  <c r="AS93" i="4"/>
  <c r="K76" i="4"/>
  <c r="AB76" i="4"/>
  <c r="B10" i="4"/>
  <c r="F25" i="4" s="1"/>
  <c r="R10" i="4"/>
  <c r="AL51" i="4"/>
  <c r="L51" i="4"/>
  <c r="X38" i="4"/>
  <c r="V38" i="4"/>
  <c r="B95" i="4"/>
  <c r="D110" i="4" s="1"/>
  <c r="R95" i="4"/>
  <c r="AQ76" i="4"/>
  <c r="AS76" i="4"/>
  <c r="B68" i="4"/>
  <c r="D82" i="4" s="1"/>
  <c r="R68" i="4"/>
  <c r="B49" i="4"/>
  <c r="D63" i="4" s="1"/>
  <c r="R49" i="4"/>
  <c r="AH49" i="4" s="1"/>
  <c r="R105" i="4"/>
  <c r="B105" i="4"/>
  <c r="F120" i="4" s="1"/>
  <c r="V9" i="4"/>
  <c r="S112" i="4"/>
  <c r="BJ62" i="2"/>
  <c r="BM58" i="2"/>
  <c r="BH61" i="2"/>
  <c r="AM55" i="4"/>
  <c r="AN61" i="2"/>
  <c r="X66" i="4"/>
  <c r="AF49" i="4"/>
  <c r="L62" i="4"/>
  <c r="AL62" i="4"/>
  <c r="D19" i="4"/>
  <c r="AB19" i="4"/>
  <c r="L82" i="4"/>
  <c r="AL82" i="4"/>
  <c r="B54" i="4"/>
  <c r="D68" i="4" s="1"/>
  <c r="R54" i="4"/>
  <c r="X80" i="4"/>
  <c r="V80" i="4"/>
  <c r="AL79" i="4"/>
  <c r="L79" i="4"/>
  <c r="R51" i="4"/>
  <c r="B51" i="4"/>
  <c r="D65" i="4" s="1"/>
  <c r="AH78" i="4"/>
  <c r="AF78" i="4"/>
  <c r="L91" i="4"/>
  <c r="AL91" i="4"/>
  <c r="X106" i="4" s="1"/>
  <c r="AM69" i="4"/>
  <c r="AT61" i="2"/>
  <c r="AC26" i="4"/>
  <c r="AP66" i="4"/>
  <c r="AR66" i="4"/>
  <c r="W85" i="4"/>
  <c r="Y85" i="4"/>
  <c r="B96" i="4"/>
  <c r="D111" i="4" s="1"/>
  <c r="R96" i="4"/>
  <c r="AB10" i="4"/>
  <c r="D10" i="4"/>
  <c r="L95" i="4"/>
  <c r="AL95" i="4"/>
  <c r="X110" i="4" s="1"/>
  <c r="D24" i="4"/>
  <c r="AB24" i="4"/>
  <c r="AS49" i="4"/>
  <c r="AQ49" i="4"/>
  <c r="AP80" i="4"/>
  <c r="AR80" i="4"/>
  <c r="Y95" i="4"/>
  <c r="W95" i="4"/>
  <c r="B48" i="4"/>
  <c r="D62" i="4" s="1"/>
  <c r="Y114" i="4"/>
  <c r="W114" i="4"/>
  <c r="AI57" i="4"/>
  <c r="AG57" i="4"/>
  <c r="AF61" i="2"/>
  <c r="W39" i="4"/>
  <c r="Y39" i="4"/>
  <c r="R76" i="4"/>
  <c r="B76" i="4"/>
  <c r="D90" i="4" s="1"/>
  <c r="R4" i="4"/>
  <c r="B4" i="4"/>
  <c r="F19" i="4" s="1"/>
  <c r="AH66" i="4"/>
  <c r="AF66" i="4"/>
  <c r="K53" i="4"/>
  <c r="AB53" i="4"/>
  <c r="Y49" i="4"/>
  <c r="W49" i="4"/>
  <c r="W19" i="4"/>
  <c r="Y19" i="4"/>
  <c r="R40" i="4"/>
  <c r="B40" i="4"/>
  <c r="D54" i="4" s="1"/>
  <c r="R65" i="4"/>
  <c r="B65" i="4"/>
  <c r="D79" i="4" s="1"/>
  <c r="AC51" i="4"/>
  <c r="V36" i="4"/>
  <c r="X36" i="4"/>
  <c r="V77" i="4"/>
  <c r="X77" i="4"/>
  <c r="V109" i="4"/>
  <c r="X109" i="4"/>
  <c r="W105" i="4"/>
  <c r="Y105" i="4"/>
  <c r="S11" i="4"/>
  <c r="X61" i="2"/>
  <c r="V63" i="4"/>
  <c r="R34" i="4"/>
  <c r="AH34" i="4" s="1"/>
  <c r="B34" i="4"/>
  <c r="D48" i="4" s="1"/>
  <c r="K96" i="4"/>
  <c r="AB96" i="4"/>
  <c r="AL63" i="4"/>
  <c r="L63" i="4"/>
  <c r="S41" i="4"/>
  <c r="AI41" i="4" s="1"/>
  <c r="AD61" i="2"/>
  <c r="AJ62" i="2"/>
  <c r="AQ71" i="4"/>
  <c r="Y67" i="4"/>
  <c r="W67" i="4"/>
  <c r="L49" i="4"/>
  <c r="AL49" i="4"/>
  <c r="AP77" i="4"/>
  <c r="R39" i="4"/>
  <c r="B39" i="4"/>
  <c r="D53" i="4" s="1"/>
  <c r="AI90" i="4"/>
  <c r="AG90" i="4"/>
  <c r="R19" i="4"/>
  <c r="B19" i="4"/>
  <c r="D34" i="4" s="1"/>
  <c r="L68" i="4"/>
  <c r="AL68" i="4"/>
  <c r="AL93" i="4"/>
  <c r="L93" i="4"/>
  <c r="AL92" i="4"/>
  <c r="X107" i="4" s="1"/>
  <c r="AR64" i="4"/>
  <c r="AP64" i="4"/>
  <c r="Y57" i="4"/>
  <c r="W57" i="4"/>
  <c r="AL65" i="4"/>
  <c r="L65" i="4"/>
  <c r="AC97" i="4"/>
  <c r="BD61" i="2"/>
  <c r="S55" i="4"/>
  <c r="AP62" i="2"/>
  <c r="AJ61" i="2"/>
  <c r="AH23" i="4"/>
  <c r="AF23" i="4"/>
  <c r="AR78" i="4"/>
  <c r="AP78" i="4"/>
  <c r="X50" i="4"/>
  <c r="V50" i="4"/>
  <c r="AP90" i="4"/>
  <c r="B62" i="4"/>
  <c r="D76" i="4" s="1"/>
  <c r="R62" i="4"/>
  <c r="D4" i="4"/>
  <c r="AB4" i="4"/>
  <c r="AF4" i="4" s="1"/>
  <c r="B82" i="4"/>
  <c r="D96" i="4" s="1"/>
  <c r="R82" i="4"/>
  <c r="R79" i="4"/>
  <c r="AH79" i="4" s="1"/>
  <c r="B79" i="4"/>
  <c r="D93" i="4" s="1"/>
  <c r="R22" i="4"/>
  <c r="B22" i="4"/>
  <c r="D37" i="4" s="1"/>
  <c r="B91" i="4"/>
  <c r="D106" i="4" s="1"/>
  <c r="R91" i="4"/>
  <c r="Y82" i="4"/>
  <c r="W82" i="4"/>
  <c r="Y96" i="4"/>
  <c r="AM97" i="4"/>
  <c r="BF61" i="2"/>
  <c r="S69" i="4"/>
  <c r="AP61" i="2"/>
  <c r="AV62" i="2"/>
  <c r="V78" i="4"/>
  <c r="X78" i="4"/>
  <c r="K54" i="4"/>
  <c r="AB54" i="4"/>
  <c r="AS95" i="4"/>
  <c r="AQ95" i="4"/>
  <c r="AG24" i="4"/>
  <c r="AI24" i="4"/>
  <c r="V35" i="4"/>
  <c r="X35" i="4"/>
  <c r="Y48" i="4"/>
  <c r="W48" i="4"/>
  <c r="AL96" i="4"/>
  <c r="L96" i="4"/>
  <c r="AB25" i="4"/>
  <c r="D25" i="4"/>
  <c r="AL67" i="4"/>
  <c r="L67" i="4"/>
  <c r="R93" i="4"/>
  <c r="B93" i="4"/>
  <c r="D108" i="4" s="1"/>
  <c r="AF20" i="4"/>
  <c r="AH20" i="4"/>
  <c r="W76" i="4"/>
  <c r="Y76" i="4"/>
  <c r="W4" i="4"/>
  <c r="Y4" i="4"/>
  <c r="AQ99" i="4"/>
  <c r="AS99" i="4"/>
  <c r="AI53" i="4"/>
  <c r="AG53" i="4"/>
  <c r="K62" i="4"/>
  <c r="AB62" i="4"/>
  <c r="W99" i="4"/>
  <c r="Y99" i="4"/>
  <c r="AB81" i="4"/>
  <c r="K81" i="4"/>
  <c r="V110" i="4"/>
  <c r="B37" i="4"/>
  <c r="D51" i="4" s="1"/>
  <c r="R37" i="4"/>
  <c r="AH37" i="4" s="1"/>
  <c r="AH50" i="4"/>
  <c r="AF50" i="4"/>
  <c r="AB9" i="4"/>
  <c r="X9" i="4" s="1"/>
  <c r="D9" i="4"/>
  <c r="AF79" i="4"/>
  <c r="V106" i="4"/>
  <c r="X6" i="4"/>
  <c r="V6" i="4"/>
  <c r="V107" i="4"/>
  <c r="V20" i="4"/>
  <c r="X20" i="4"/>
  <c r="L54" i="4"/>
  <c r="AL54" i="4"/>
  <c r="K93" i="4"/>
  <c r="AB93" i="4"/>
  <c r="AC83" i="4"/>
  <c r="AX61" i="2"/>
  <c r="D22" i="4"/>
  <c r="AB22" i="4"/>
  <c r="AS48" i="4"/>
  <c r="AQ48" i="4"/>
  <c r="V52" i="4"/>
  <c r="X52" i="4"/>
  <c r="AM83" i="4"/>
  <c r="AZ61" i="2"/>
  <c r="S26" i="4"/>
  <c r="AD62" i="2"/>
  <c r="AB62" i="2"/>
  <c r="AB61" i="2"/>
  <c r="AP94" i="4"/>
  <c r="AR94" i="4"/>
  <c r="AQ92" i="4"/>
  <c r="AS92" i="4"/>
  <c r="R90" i="4"/>
  <c r="B90" i="4"/>
  <c r="D105" i="4" s="1"/>
  <c r="AB48" i="4"/>
  <c r="K48" i="4"/>
  <c r="AH80" i="4"/>
  <c r="AF80" i="4"/>
  <c r="B111" i="4"/>
  <c r="F126" i="4" s="1"/>
  <c r="R111" i="4"/>
  <c r="AB68" i="4"/>
  <c r="K68" i="4"/>
  <c r="R25" i="4"/>
  <c r="B25" i="4"/>
  <c r="D40" i="4" s="1"/>
  <c r="AF94" i="4"/>
  <c r="AH94" i="4"/>
  <c r="AP52" i="4"/>
  <c r="AR52" i="4"/>
  <c r="Y81" i="4"/>
  <c r="B108" i="4"/>
  <c r="F123" i="4" s="1"/>
  <c r="R108" i="4"/>
  <c r="K65" i="4"/>
  <c r="AB65" i="4"/>
  <c r="B7" i="4"/>
  <c r="F22" i="4" s="1"/>
  <c r="R7" i="4"/>
  <c r="V64" i="4"/>
  <c r="X64" i="4"/>
  <c r="AB77" i="4"/>
  <c r="K77" i="4"/>
  <c r="AS90" i="4"/>
  <c r="S97" i="4"/>
  <c r="BB61" i="2"/>
  <c r="BH62" i="2"/>
  <c r="AC55" i="4"/>
  <c r="AL61" i="2"/>
  <c r="V94" i="4"/>
  <c r="X94" i="4"/>
  <c r="Y108" i="4"/>
  <c r="R67" i="4"/>
  <c r="B67" i="4"/>
  <c r="D81" i="4" s="1"/>
  <c r="D7" i="4"/>
  <c r="AB7" i="4"/>
  <c r="AF91" i="4"/>
  <c r="V23" i="4"/>
  <c r="X23" i="4"/>
  <c r="L76" i="4"/>
  <c r="AL76" i="4"/>
  <c r="AG85" i="4"/>
  <c r="AI85" i="4"/>
  <c r="S83" i="4"/>
  <c r="BB62" i="2"/>
  <c r="AV61" i="2"/>
  <c r="AC11" i="4"/>
  <c r="AS67" i="4"/>
  <c r="AQ67" i="4"/>
  <c r="AB90" i="4"/>
  <c r="AR90" i="4" s="1"/>
  <c r="L90" i="4"/>
  <c r="K90" i="4"/>
  <c r="AL48" i="4"/>
  <c r="L48" i="4"/>
  <c r="AB82" i="4"/>
  <c r="K82" i="4"/>
  <c r="AI62" i="4"/>
  <c r="AG62" i="4"/>
  <c r="AG81" i="4"/>
  <c r="AI81" i="4"/>
  <c r="X92" i="4"/>
  <c r="V92" i="4"/>
  <c r="AH6" i="4"/>
  <c r="AF6" i="4"/>
  <c r="V5" i="4"/>
  <c r="AQ85" i="4"/>
  <c r="AS85" i="4"/>
  <c r="W71" i="4"/>
  <c r="Y71" i="4"/>
  <c r="AI9" i="4"/>
  <c r="AG9" i="4"/>
  <c r="Y63" i="4"/>
  <c r="R71" i="4" l="1"/>
  <c r="AS71" i="4"/>
  <c r="L71" i="4"/>
  <c r="AL85" i="4"/>
  <c r="AP85" i="4" s="1"/>
  <c r="R114" i="4"/>
  <c r="V114" i="4" s="1"/>
  <c r="AB99" i="4"/>
  <c r="AF99" i="4" s="1"/>
  <c r="R99" i="4"/>
  <c r="AI99" i="4"/>
  <c r="AQ57" i="4"/>
  <c r="L57" i="4"/>
  <c r="AL99" i="4"/>
  <c r="B57" i="4"/>
  <c r="D71" i="4" s="1"/>
  <c r="AB85" i="4"/>
  <c r="R85" i="4"/>
  <c r="X85" i="4" s="1"/>
  <c r="AB71" i="4"/>
  <c r="AF71" i="4" s="1"/>
  <c r="K57" i="4"/>
  <c r="X63" i="4"/>
  <c r="X81" i="4"/>
  <c r="X4" i="4"/>
  <c r="X53" i="4"/>
  <c r="AH39" i="4"/>
  <c r="L41" i="4"/>
  <c r="AR41" i="4"/>
  <c r="AH40" i="4"/>
  <c r="AR40" i="4"/>
  <c r="AF40" i="4"/>
  <c r="V81" i="4"/>
  <c r="AG71" i="4"/>
  <c r="AH5" i="4"/>
  <c r="AF5" i="4"/>
  <c r="X5" i="4"/>
  <c r="AG55" i="4"/>
  <c r="AI55" i="4"/>
  <c r="AH22" i="4"/>
  <c r="AF22" i="4"/>
  <c r="AR54" i="4"/>
  <c r="AP54" i="4"/>
  <c r="F11" i="4"/>
  <c r="C127" i="4" s="1"/>
  <c r="AS97" i="4"/>
  <c r="AQ97" i="4"/>
  <c r="AH4" i="4"/>
  <c r="V19" i="4"/>
  <c r="X19" i="4"/>
  <c r="AF24" i="4"/>
  <c r="AH24" i="4"/>
  <c r="X24" i="4"/>
  <c r="V51" i="4"/>
  <c r="X51" i="4"/>
  <c r="X95" i="4"/>
  <c r="V95" i="4"/>
  <c r="AH95" i="4"/>
  <c r="AF76" i="4"/>
  <c r="AH76" i="4"/>
  <c r="R83" i="4"/>
  <c r="B83" i="4"/>
  <c r="D97" i="4" s="1"/>
  <c r="Y83" i="4"/>
  <c r="W83" i="4"/>
  <c r="W97" i="4"/>
  <c r="Y97" i="4"/>
  <c r="AH65" i="4"/>
  <c r="AF65" i="4"/>
  <c r="AF68" i="4"/>
  <c r="AH68" i="4"/>
  <c r="V90" i="4"/>
  <c r="X90" i="4"/>
  <c r="B26" i="4"/>
  <c r="D41" i="4" s="1"/>
  <c r="R26" i="4"/>
  <c r="Y26" i="4"/>
  <c r="W26" i="4"/>
  <c r="AS83" i="4"/>
  <c r="AQ83" i="4"/>
  <c r="AI83" i="4"/>
  <c r="AG83" i="4"/>
  <c r="X71" i="4"/>
  <c r="X93" i="4"/>
  <c r="V93" i="4"/>
  <c r="AF25" i="4"/>
  <c r="AH25" i="4"/>
  <c r="B69" i="4"/>
  <c r="D83" i="4" s="1"/>
  <c r="R69" i="4"/>
  <c r="X79" i="4"/>
  <c r="V79" i="4"/>
  <c r="AR49" i="4"/>
  <c r="AP49" i="4"/>
  <c r="AP63" i="4"/>
  <c r="AR63" i="4"/>
  <c r="X34" i="4"/>
  <c r="V34" i="4"/>
  <c r="AB51" i="4"/>
  <c r="AR51" i="4" s="1"/>
  <c r="K51" i="4"/>
  <c r="K41" i="4"/>
  <c r="V48" i="4"/>
  <c r="X48" i="4"/>
  <c r="AH10" i="4"/>
  <c r="AF10" i="4"/>
  <c r="AB26" i="4"/>
  <c r="D26" i="4"/>
  <c r="AS69" i="4"/>
  <c r="AQ69" i="4"/>
  <c r="X54" i="4"/>
  <c r="V54" i="4"/>
  <c r="AF19" i="4"/>
  <c r="AH19" i="4"/>
  <c r="AQ55" i="4"/>
  <c r="AS55" i="4"/>
  <c r="AP51" i="4"/>
  <c r="K69" i="4"/>
  <c r="AB69" i="4"/>
  <c r="AG11" i="4"/>
  <c r="AI11" i="4"/>
  <c r="AH7" i="4"/>
  <c r="AF7" i="4"/>
  <c r="AR92" i="4"/>
  <c r="AP92" i="4"/>
  <c r="X65" i="4"/>
  <c r="V65" i="4"/>
  <c r="X111" i="4"/>
  <c r="V111" i="4"/>
  <c r="AF93" i="4"/>
  <c r="AH93" i="4"/>
  <c r="X37" i="4"/>
  <c r="V37" i="4"/>
  <c r="L97" i="4"/>
  <c r="AL97" i="4"/>
  <c r="V82" i="4"/>
  <c r="X82" i="4"/>
  <c r="X62" i="4"/>
  <c r="V62" i="4"/>
  <c r="R55" i="4"/>
  <c r="B55" i="4"/>
  <c r="D69" i="4" s="1"/>
  <c r="W55" i="4"/>
  <c r="Y55" i="4"/>
  <c r="AI97" i="4"/>
  <c r="AG97" i="4"/>
  <c r="AR93" i="4"/>
  <c r="AP93" i="4"/>
  <c r="AP57" i="4"/>
  <c r="AR57" i="4"/>
  <c r="AF57" i="4"/>
  <c r="AH57" i="4"/>
  <c r="B41" i="4"/>
  <c r="D55" i="4" s="1"/>
  <c r="R41" i="4"/>
  <c r="AH41" i="4" s="1"/>
  <c r="AH96" i="4"/>
  <c r="AF96" i="4"/>
  <c r="AG51" i="4"/>
  <c r="AI51" i="4"/>
  <c r="AS51" i="4"/>
  <c r="V40" i="4"/>
  <c r="X40" i="4"/>
  <c r="V4" i="4"/>
  <c r="AR95" i="4"/>
  <c r="AP95" i="4"/>
  <c r="X96" i="4"/>
  <c r="V96" i="4"/>
  <c r="AI26" i="4"/>
  <c r="AG26" i="4"/>
  <c r="L69" i="4"/>
  <c r="AL69" i="4"/>
  <c r="AR79" i="4"/>
  <c r="AP79" i="4"/>
  <c r="AL55" i="4"/>
  <c r="L55" i="4"/>
  <c r="X49" i="4"/>
  <c r="V49" i="4"/>
  <c r="V68" i="4"/>
  <c r="X68" i="4"/>
  <c r="X10" i="4"/>
  <c r="V10" i="4"/>
  <c r="AP48" i="4"/>
  <c r="AR48" i="4"/>
  <c r="R97" i="4"/>
  <c r="B97" i="4"/>
  <c r="D112" i="4" s="1"/>
  <c r="AF77" i="4"/>
  <c r="AH77" i="4"/>
  <c r="AH62" i="4"/>
  <c r="AF62" i="4"/>
  <c r="AH54" i="4"/>
  <c r="AF54" i="4"/>
  <c r="W69" i="4"/>
  <c r="Y69" i="4"/>
  <c r="X91" i="4"/>
  <c r="V91" i="4"/>
  <c r="V57" i="4"/>
  <c r="V39" i="4"/>
  <c r="X39" i="4"/>
  <c r="R11" i="4"/>
  <c r="B11" i="4"/>
  <c r="F26" i="4" s="1"/>
  <c r="D127" i="4"/>
  <c r="X76" i="4"/>
  <c r="V76" i="4"/>
  <c r="AF82" i="4"/>
  <c r="AH82" i="4"/>
  <c r="AP76" i="4"/>
  <c r="AR76" i="4"/>
  <c r="L83" i="4"/>
  <c r="AL83" i="4"/>
  <c r="AF90" i="4"/>
  <c r="AH90" i="4"/>
  <c r="D11" i="4"/>
  <c r="AB11" i="4"/>
  <c r="AH91" i="4"/>
  <c r="V67" i="4"/>
  <c r="X67" i="4"/>
  <c r="AH67" i="4"/>
  <c r="AP71" i="4"/>
  <c r="AB55" i="4"/>
  <c r="K55" i="4"/>
  <c r="X7" i="4"/>
  <c r="V7" i="4"/>
  <c r="V108" i="4"/>
  <c r="X108" i="4"/>
  <c r="V25" i="4"/>
  <c r="X25" i="4"/>
  <c r="AF48" i="4"/>
  <c r="AH48" i="4"/>
  <c r="X57" i="4"/>
  <c r="K83" i="4"/>
  <c r="AB83" i="4"/>
  <c r="AF9" i="4"/>
  <c r="AH9" i="4"/>
  <c r="AF81" i="4"/>
  <c r="AH81" i="4"/>
  <c r="AR81" i="4"/>
  <c r="AP67" i="4"/>
  <c r="AR67" i="4"/>
  <c r="AR96" i="4"/>
  <c r="AP96" i="4"/>
  <c r="X22" i="4"/>
  <c r="V22" i="4"/>
  <c r="AB97" i="4"/>
  <c r="K97" i="4"/>
  <c r="V71" i="4"/>
  <c r="AR65" i="4"/>
  <c r="AP65" i="4"/>
  <c r="AR68" i="4"/>
  <c r="AP68" i="4"/>
  <c r="AR77" i="4"/>
  <c r="Y41" i="4"/>
  <c r="W41" i="4"/>
  <c r="W11" i="4"/>
  <c r="Y11" i="4"/>
  <c r="AH53" i="4"/>
  <c r="AF53" i="4"/>
  <c r="AR53" i="4"/>
  <c r="AP91" i="4"/>
  <c r="AR91" i="4"/>
  <c r="AR82" i="4"/>
  <c r="AP82" i="4"/>
  <c r="AR62" i="4"/>
  <c r="AP62" i="4"/>
  <c r="B112" i="4"/>
  <c r="F127" i="4" s="1"/>
  <c r="R112" i="4"/>
  <c r="Y112" i="4"/>
  <c r="W112" i="4"/>
  <c r="V105" i="4"/>
  <c r="X105" i="4"/>
  <c r="AR85" i="4" l="1"/>
  <c r="AR99" i="4"/>
  <c r="AH99" i="4"/>
  <c r="V99" i="4"/>
  <c r="AF85" i="4"/>
  <c r="AH85" i="4"/>
  <c r="X114" i="4"/>
  <c r="AP99" i="4"/>
  <c r="X99" i="4"/>
  <c r="V85" i="4"/>
  <c r="AH71" i="4"/>
  <c r="AR71" i="4"/>
  <c r="AH83" i="4"/>
  <c r="AF83" i="4"/>
  <c r="AH26" i="4"/>
  <c r="AF26" i="4"/>
  <c r="AH97" i="4"/>
  <c r="AF97" i="4"/>
  <c r="AH11" i="4"/>
  <c r="AF11" i="4"/>
  <c r="V55" i="4"/>
  <c r="X55" i="4"/>
  <c r="X26" i="4"/>
  <c r="V26" i="4"/>
  <c r="X83" i="4"/>
  <c r="V83" i="4"/>
  <c r="V97" i="4"/>
  <c r="X97" i="4"/>
  <c r="AF55" i="4"/>
  <c r="AH55" i="4"/>
  <c r="X11" i="4"/>
  <c r="V11" i="4"/>
  <c r="AF51" i="4"/>
  <c r="AH51" i="4"/>
  <c r="X69" i="4"/>
  <c r="V69" i="4"/>
  <c r="X112" i="4"/>
  <c r="V112" i="4"/>
  <c r="AR83" i="4"/>
  <c r="AP83" i="4"/>
  <c r="AP55" i="4"/>
  <c r="AR55" i="4"/>
  <c r="AR69" i="4"/>
  <c r="AP69" i="4"/>
  <c r="X41" i="4"/>
  <c r="V41" i="4"/>
  <c r="AR97" i="4"/>
  <c r="AP9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TEOULET Benjamin</author>
  </authors>
  <commentList>
    <comment ref="BJ25" authorId="0" shapeId="0" xr:uid="{000F243B-9BF8-4A0C-A121-F9A3A3F3504C}">
      <text>
        <r>
          <rPr>
            <b/>
            <sz val="9"/>
            <color indexed="81"/>
            <rFont val="Tahoma"/>
            <family val="2"/>
          </rPr>
          <t>TEOULET Benjamin:</t>
        </r>
        <r>
          <rPr>
            <sz val="9"/>
            <color indexed="81"/>
            <rFont val="Tahoma"/>
            <family val="2"/>
          </rPr>
          <t xml:space="preserve">
problème téléverseur donnée, à vérifier</t>
        </r>
      </text>
    </comment>
    <comment ref="AT50" authorId="0" shapeId="0" xr:uid="{299EF347-A1D7-44AA-994B-ACD6CB497F94}">
      <text>
        <r>
          <rPr>
            <b/>
            <sz val="9"/>
            <color indexed="81"/>
            <rFont val="Tahoma"/>
            <family val="2"/>
          </rPr>
          <t>TEOULET Benjamin:</t>
        </r>
        <r>
          <rPr>
            <sz val="9"/>
            <color indexed="81"/>
            <rFont val="Tahoma"/>
            <family val="2"/>
          </rPr>
          <t xml:space="preserve">
donnée au 28, en attente du tableur ce vendredi pour donnée plus proche
</t>
        </r>
      </text>
    </comment>
    <comment ref="AT54" authorId="0" shapeId="0" xr:uid="{9A9DE518-AF71-4E30-933D-ACC19103501B}">
      <text>
        <r>
          <rPr>
            <b/>
            <sz val="9"/>
            <color indexed="81"/>
            <rFont val="Tahoma"/>
            <family val="2"/>
          </rPr>
          <t>TEOULET Benjamin:</t>
        </r>
        <r>
          <rPr>
            <sz val="9"/>
            <color indexed="81"/>
            <rFont val="Tahoma"/>
            <family val="2"/>
          </rPr>
          <t xml:space="preserve">
donnée au 28, en attente du tableur ce vendredi pour donnée plus proche
</t>
        </r>
      </text>
    </comment>
    <comment ref="AT56" authorId="0" shapeId="0" xr:uid="{3C397D4D-23BD-4522-8CB6-969373A75BE6}">
      <text>
        <r>
          <rPr>
            <b/>
            <sz val="9"/>
            <color indexed="81"/>
            <rFont val="Tahoma"/>
            <family val="2"/>
          </rPr>
          <t>TEOULET Benjamin:</t>
        </r>
        <r>
          <rPr>
            <sz val="9"/>
            <color indexed="81"/>
            <rFont val="Tahoma"/>
            <family val="2"/>
          </rPr>
          <t xml:space="preserve">
donnée au 28, en attente du tableur ce vendredi pour donnée plus proche
</t>
        </r>
      </text>
    </comment>
    <comment ref="AT57" authorId="0" shapeId="0" xr:uid="{B0354495-E045-4161-8497-750E25960D91}">
      <text>
        <r>
          <rPr>
            <b/>
            <sz val="9"/>
            <color indexed="81"/>
            <rFont val="Tahoma"/>
            <family val="2"/>
          </rPr>
          <t>TEOULET Benjamin:</t>
        </r>
        <r>
          <rPr>
            <sz val="9"/>
            <color indexed="81"/>
            <rFont val="Tahoma"/>
            <family val="2"/>
          </rPr>
          <t xml:space="preserve">
donnée au 28, en attente du tableur ce vendredi pour donnée plus proche
</t>
        </r>
      </text>
    </comment>
  </commentList>
</comments>
</file>

<file path=xl/sharedStrings.xml><?xml version="1.0" encoding="utf-8"?>
<sst xmlns="http://schemas.openxmlformats.org/spreadsheetml/2006/main" count="1431" uniqueCount="418">
  <si>
    <t>Note à l'attention des utilisateurs :</t>
  </si>
  <si>
    <t>En pratique : après avoir renseigné les valeurs faire F9 pour activer les calculs si pas fait automatiquement</t>
  </si>
  <si>
    <r>
      <rPr>
        <sz val="11"/>
        <rFont val="Arial"/>
        <family val="2"/>
      </rPr>
      <t xml:space="preserve">Le présent fichier permet d'assurer le </t>
    </r>
    <r>
      <rPr>
        <b/>
        <sz val="11"/>
        <rFont val="Arial"/>
        <family val="2"/>
      </rPr>
      <t>suivi du remplissage des réserves, toutes les décades en période d'étiage et 1 fois par mois le reste de l'année</t>
    </r>
    <r>
      <rPr>
        <sz val="11"/>
        <rFont val="Arial"/>
        <family val="2"/>
      </rPr>
      <t xml:space="preserve">. Il est envoyé en début de mois à l'Oieau et la DEB selon le planning du BSH national (date limite vers le 10 du mois n+1 en général) et déposer sur le site internet de la DREAL.
Il fournit pour chaque mois le volume de la réserve en Mm3 et le taux de remplissage en % au regard de la capacité de la réserve.
Il permet de suivre les retenues conventionnées ou non de </t>
    </r>
    <r>
      <rPr>
        <b/>
        <sz val="11"/>
        <rFont val="Arial"/>
        <family val="2"/>
      </rPr>
      <t>plus de 2 Mm3</t>
    </r>
    <r>
      <rPr>
        <sz val="11"/>
        <rFont val="Arial"/>
        <family val="2"/>
      </rPr>
      <t xml:space="preserve"> (ou presque à quelques exceptions près).</t>
    </r>
  </si>
  <si>
    <r>
      <rPr>
        <b/>
        <sz val="11"/>
        <rFont val="Arial"/>
        <family val="2"/>
      </rPr>
      <t xml:space="preserve">A faire en début d'année :
</t>
    </r>
    <r>
      <rPr>
        <sz val="11"/>
        <rFont val="Arial"/>
        <family val="2"/>
      </rPr>
      <t xml:space="preserve"> - Vérifier les capacités totales ou volumes dédiés à l'étiage = colonne N
 - Préparer les tableaux utilisés pour le BSH = onglet "Bilan_BSH"</t>
    </r>
  </si>
  <si>
    <r>
      <rPr>
        <b/>
        <sz val="11"/>
        <rFont val="Arial"/>
        <family val="2"/>
      </rPr>
      <t xml:space="preserve">Attention : bien vérifier/corriger les formules du calcul du taux de remplissage </t>
    </r>
    <r>
      <rPr>
        <sz val="11"/>
        <rFont val="Arial"/>
        <family val="2"/>
      </rPr>
      <t xml:space="preserve">des réserves </t>
    </r>
    <r>
      <rPr>
        <b/>
        <sz val="11"/>
        <rFont val="Arial"/>
        <family val="2"/>
      </rPr>
      <t>lorsque des données manquent</t>
    </r>
    <r>
      <rPr>
        <sz val="11"/>
        <rFont val="Arial"/>
        <family val="2"/>
      </rPr>
      <t xml:space="preserve"> ou dans des cas particuliers / système Neste Haute-Montagne
Si pas de données fournies : </t>
    </r>
    <r>
      <rPr>
        <b/>
        <sz val="11"/>
        <rFont val="Arial"/>
        <family val="2"/>
      </rPr>
      <t>griser la cellule</t>
    </r>
    <r>
      <rPr>
        <sz val="11"/>
        <rFont val="Arial"/>
        <family val="2"/>
      </rPr>
      <t xml:space="preserve"> et effacer la formule de calcul du taux de remplissage
</t>
    </r>
    <r>
      <rPr>
        <b/>
        <sz val="11"/>
        <rFont val="Arial"/>
        <family val="2"/>
        <charset val="1"/>
      </rPr>
      <t xml:space="preserve">
</t>
    </r>
    <r>
      <rPr>
        <b/>
        <sz val="11"/>
        <rFont val="Arial"/>
        <family val="2"/>
      </rPr>
      <t>Ne pas modifier le nom des colonnes car lien avec fichier pour carto, le n° de ref des retenues, ne pas supprimer d'onglets déjà nommés</t>
    </r>
  </si>
  <si>
    <r>
      <rPr>
        <sz val="11"/>
        <rFont val="Arial"/>
        <family val="2"/>
      </rPr>
      <t xml:space="preserve">Les </t>
    </r>
    <r>
      <rPr>
        <b/>
        <sz val="11"/>
        <rFont val="Arial"/>
        <family val="2"/>
      </rPr>
      <t>réserves sous convention</t>
    </r>
    <r>
      <rPr>
        <sz val="11"/>
        <rFont val="Arial"/>
        <family val="2"/>
      </rPr>
      <t xml:space="preserve"> (2ème tableau) sont des ouvrages hydroélectriques </t>
    </r>
    <r>
      <rPr>
        <b/>
        <sz val="11"/>
        <rFont val="Arial"/>
        <family val="2"/>
      </rPr>
      <t>dont une partie du volume est dédiée au soutien d'étiage</t>
    </r>
    <r>
      <rPr>
        <sz val="11"/>
        <rFont val="Arial"/>
        <family val="2"/>
      </rPr>
      <t xml:space="preserve"> --&gt; la capacité des réserves correspond au volume dédié au soutien d'étiage (la capacité totale des réserves n'étant pas toujours connue / fournie)</t>
    </r>
  </si>
  <si>
    <t>Remarque : il est possible d'avoir un taux de remplissage supérieur à 100 % (cas du Tarn-Aveyron, de Charpal...) dans les cas où la capacité de la réserve correspond au volume utile (côte d'exploitation) et en cas de déversement du barrage.</t>
  </si>
  <si>
    <r>
      <rPr>
        <b/>
        <sz val="11"/>
        <rFont val="Arial"/>
        <family val="2"/>
      </rPr>
      <t>Lac d'Oo</t>
    </r>
    <r>
      <rPr>
        <sz val="11"/>
        <rFont val="Arial"/>
        <family val="2"/>
      </rPr>
      <t xml:space="preserve"> : 5 Mm3 dédiés au soutien d'étiage du 01/09 (exceptionnellement du 15/08) au 31/10
IGLS (Izourt – Gnioure - Laparan – Soulcem) : 46 Mm3 dédiés au soutien d'étiage du 15/06 au 31/10
</t>
    </r>
    <r>
      <rPr>
        <b/>
        <sz val="11"/>
        <rFont val="Arial"/>
        <family val="2"/>
      </rPr>
      <t>Pareloup</t>
    </r>
    <r>
      <rPr>
        <sz val="11"/>
        <rFont val="Arial"/>
        <family val="2"/>
      </rPr>
      <t xml:space="preserve"> : 5 Mm3 dédiés au soutien d'étiage du 01/07 au 31/10 (convention couvrant 2017, 2018 et 2019)
</t>
    </r>
    <r>
      <rPr>
        <b/>
        <sz val="11"/>
        <rFont val="Arial"/>
        <family val="2"/>
      </rPr>
      <t>Système Neste HAUTE-MONTAGNE</t>
    </r>
    <r>
      <rPr>
        <sz val="11"/>
        <rFont val="Arial"/>
        <family val="2"/>
      </rPr>
      <t xml:space="preserve"> : 48 Mm3 conventionnés pour les mois de juin à décembre ; 10 Mm3 conventionnés pour le mois de janvier ; 5 Mm3 conventionnés pour le mois de février ; 0 Mm3 pour les mois de mars à mai
</t>
    </r>
    <r>
      <rPr>
        <b/>
        <sz val="11"/>
        <rFont val="Arial"/>
        <family val="2"/>
      </rPr>
      <t>St-Peyres</t>
    </r>
    <r>
      <rPr>
        <sz val="11"/>
        <rFont val="Arial"/>
        <family val="2"/>
      </rPr>
      <t xml:space="preserve"> : 20 Mm3 dédiés au soutien d'étiage du 01/07 au 31/10 (convention 2012-2021) ;</t>
    </r>
    <r>
      <rPr>
        <sz val="11"/>
        <color rgb="FFFF0000"/>
        <rFont val="Arial"/>
        <family val="2"/>
      </rPr>
      <t xml:space="preserve"> </t>
    </r>
    <r>
      <rPr>
        <i/>
        <sz val="11"/>
        <color rgb="FF0000FF"/>
        <rFont val="Arial"/>
        <family val="2"/>
      </rPr>
      <t>volume total de la réserve affiché dans le tableau de suivi jusqu'en 2017, corrigé à partir de 2018 par le vol dédié à l'étiage pour cohérence avec les autres retenues sous convention (récupérer donnée d'EDF et non plus de la DDT81)</t>
    </r>
  </si>
  <si>
    <r>
      <rPr>
        <b/>
        <sz val="11"/>
        <rFont val="Arial"/>
        <family val="2"/>
      </rPr>
      <t>Barrage de Miallet</t>
    </r>
    <r>
      <rPr>
        <sz val="11"/>
        <rFont val="Arial"/>
        <family val="2"/>
      </rPr>
      <t xml:space="preserve"> (info du 27/03/2018) : 
Débit des lâchés pour Janvier et Février est de 60l/s correspond au débit réservé pour ces mois conformément à l’arrêté du 8 Juillet 1992 ; débit réservé pour les autres mois est de 31 l/s (en dehors des débits lâchers pour le soutien d'étiage si besoin).
Capacité totale de la retenue est de 4 952 500 m3 pour un niveau au limni à 298.00 m NGF.</t>
    </r>
  </si>
  <si>
    <r>
      <rPr>
        <sz val="11"/>
        <rFont val="Arial"/>
        <family val="2"/>
      </rPr>
      <t xml:space="preserve">Barrage </t>
    </r>
    <r>
      <rPr>
        <b/>
        <sz val="11"/>
        <rFont val="Arial"/>
        <family val="2"/>
      </rPr>
      <t>d'ENTRAYGUES</t>
    </r>
    <r>
      <rPr>
        <sz val="11"/>
        <rFont val="Arial"/>
        <family val="2"/>
      </rPr>
      <t xml:space="preserve"> : 33 Mm3 dédiés au soutien d'étiage du 01/07 au 31/10, sauf indications contraires</t>
    </r>
  </si>
  <si>
    <t>A partir de l'étiage 2017, ajout de la réserve de Pareloup sur le Vioulou (sous convention - Aveyron) ; gestion par EDF (Hervé Daubeuf) : 5 Mm3 dédiés au soutien d'étiage du 01/07 au 31/10</t>
  </si>
  <si>
    <t>A partir de 2017, suppression de la retenue de MONTBEL dans le tableau : retenue de 60 Mm3 dont 7 Mm3 maxi sont destinés au soutien d'étiage de la Garonne à partir du 15 septembre et sous réserve de garantie de remplissage de la retenue pour l'année suivante (décision sur le volume éventuel accordé prise en cours d'étiage chaque année --&gt; voir Dreal de région pour connaitre le volume mis à dispo chaque année : à préciser dans le BSH)</t>
  </si>
  <si>
    <t>Barrage de Rassisse : d'après les plans initiaux du barrage on avait estimé à 4 Mm3 en plus des 8,5 Mm3 après travaux réalisé en 2015, mais le volume total depuis 2015 = 11,35 Mm3, confirmé avec bathymétrie réalisée en 2015.</t>
  </si>
  <si>
    <t>Ajout de Magnoac, Thérondel, Fourogue, Falquettes, Thuriès et Gréziolles</t>
  </si>
  <si>
    <t>A faire / à voir :</t>
  </si>
  <si>
    <t>Vérifier si le volume des ouvrages = volume total ou utile ou volume de la retenue normale d'exploitation  ?</t>
  </si>
  <si>
    <t>ST FERREOL : capacité totale est de 6.5 mais la Retenue Normale d'exploitation à ne pas dépasser est à ce jour de 347,20 NGF (29.06 m), soit 4 968 000 m3.</t>
  </si>
  <si>
    <t xml:space="preserve">Retenue de Gréziolles : convention avec EDF pour 2,8 Mm3 max de soutien d'étiage --&gt; retenue pas suivie par le passé : voir avec Dreal NA si utile de la rajouter ? </t>
  </si>
  <si>
    <t>Se requestionner sur la liste des réserves suivies : besoin d'en ajouter ?</t>
  </si>
  <si>
    <t>NOM_SBASSIN</t>
  </si>
  <si>
    <t>NOM_RESERVE</t>
  </si>
  <si>
    <t>REF_OVH</t>
  </si>
  <si>
    <t>NOM_COURS_EAU</t>
  </si>
  <si>
    <t>CAPACITE
RESERVE 2009</t>
  </si>
  <si>
    <t>CAPACITE
RESERVE 2010</t>
  </si>
  <si>
    <t>CAPACITE
RESERVE 2011</t>
  </si>
  <si>
    <t>CAPACITE
RESERVE 2012</t>
  </si>
  <si>
    <t>CAPACITE
RESERVE 2013</t>
  </si>
  <si>
    <t>CAPACITE
RESERVE 2014</t>
  </si>
  <si>
    <t>CAPACITE RESERVE 2015</t>
  </si>
  <si>
    <t>CAPACITE RESERVE 2016</t>
  </si>
  <si>
    <t>CAPACITE RESERVE 2017</t>
  </si>
  <si>
    <t>CAPACITE RESERVE 2018</t>
  </si>
  <si>
    <t>CAPACITE RESERVE 2019</t>
  </si>
  <si>
    <t>CAPACITE RESERVE 2020</t>
  </si>
  <si>
    <t>CAPACITE RESERVE 2022</t>
  </si>
  <si>
    <t>CAPACITE RESERVE 2023</t>
  </si>
  <si>
    <t>SOURCE_INFO</t>
  </si>
  <si>
    <t>COMMENTAIRES</t>
  </si>
  <si>
    <t>ADOUR</t>
  </si>
  <si>
    <t>ARRET DARRE</t>
  </si>
  <si>
    <t>ARROS</t>
  </si>
  <si>
    <t>CACG (astreinte GDE)</t>
  </si>
  <si>
    <t>AYGUELONGUE</t>
  </si>
  <si>
    <t>LUY DE BEARN</t>
  </si>
  <si>
    <t>BALAING</t>
  </si>
  <si>
    <t>LUY DE FRANCE</t>
  </si>
  <si>
    <t xml:space="preserve">Mises à jour à faire </t>
  </si>
  <si>
    <t>BROUSSEAU</t>
  </si>
  <si>
    <t>Ajouter la Ravière</t>
  </si>
  <si>
    <t>GABAS</t>
  </si>
  <si>
    <t>Intégrer les culots piscicoles</t>
  </si>
  <si>
    <t>GABASSOT</t>
  </si>
  <si>
    <t>Ajouter les réserves après consultation des DDT</t>
  </si>
  <si>
    <t>HAGETMAU</t>
  </si>
  <si>
    <t>LOUTS</t>
  </si>
  <si>
    <t>LAC BLEU</t>
  </si>
  <si>
    <t>LOUET</t>
  </si>
  <si>
    <t>DUHORT-BACHEN</t>
  </si>
  <si>
    <t>LOURDEN</t>
  </si>
  <si>
    <t>CHARROS</t>
  </si>
  <si>
    <t>MIDOU</t>
  </si>
  <si>
    <t>ST-JEAN</t>
  </si>
  <si>
    <t>DOUZE</t>
  </si>
  <si>
    <t>TOTAL ADOUR</t>
  </si>
  <si>
    <t>CHARENTE</t>
  </si>
  <si>
    <t>LAVAUD / MAS CHABAN</t>
  </si>
  <si>
    <t>CD16 (Nathalie DESBOIS)</t>
  </si>
  <si>
    <t>DORDOGNE</t>
  </si>
  <si>
    <t>MIALLET</t>
  </si>
  <si>
    <t>DRONNE</t>
  </si>
  <si>
    <t>SOGEDO ( Jean-Benoît DUTILLY)</t>
  </si>
  <si>
    <t>GARONNE</t>
  </si>
  <si>
    <t>BALERME</t>
  </si>
  <si>
    <t>GIROU</t>
  </si>
  <si>
    <t>Réseau 31 (Mélanie Bénazet)</t>
  </si>
  <si>
    <t>BRAYSSOU</t>
  </si>
  <si>
    <t>DROPT</t>
  </si>
  <si>
    <t>FABAS</t>
  </si>
  <si>
    <t>TOUCH</t>
  </si>
  <si>
    <t>SIAHT</t>
  </si>
  <si>
    <t>FILHEIT</t>
  </si>
  <si>
    <t>ARIZE</t>
  </si>
  <si>
    <t>SMDEA09 (Xavier Roujat)</t>
  </si>
  <si>
    <t xml:space="preserve">GANGUISE </t>
  </si>
  <si>
    <t>GANGUISE</t>
  </si>
  <si>
    <t>BRL exploitation (+IEMN)</t>
  </si>
  <si>
    <t>LA BURE</t>
  </si>
  <si>
    <t>LARAGOU</t>
  </si>
  <si>
    <t>LESCOURROUX</t>
  </si>
  <si>
    <t>MONDELY</t>
  </si>
  <si>
    <t>LEZE</t>
  </si>
  <si>
    <t>SMAHVL (Chantal CHAUVIN /  David COMMINGES)</t>
  </si>
  <si>
    <t>MONTBEL</t>
  </si>
  <si>
    <t>HERS VIF</t>
  </si>
  <si>
    <t>IIABM</t>
  </si>
  <si>
    <t>SAVERES</t>
  </si>
  <si>
    <t>TOTAL GARONNE</t>
  </si>
  <si>
    <t>NESTE</t>
  </si>
  <si>
    <t>ASTARAC</t>
  </si>
  <si>
    <t>ARRATS</t>
  </si>
  <si>
    <t xml:space="preserve">LA BARADEE </t>
  </si>
  <si>
    <t>GUIROUE</t>
  </si>
  <si>
    <t>LIZET</t>
  </si>
  <si>
    <t>OSSE</t>
  </si>
  <si>
    <t>GIMONE (LUNAX)</t>
  </si>
  <si>
    <t>GIMONE</t>
  </si>
  <si>
    <t>BOUES SERE RUSTAING</t>
  </si>
  <si>
    <t>BOUES</t>
  </si>
  <si>
    <t>MIELAN</t>
  </si>
  <si>
    <t>PUYDARRIEUX</t>
  </si>
  <si>
    <t>BAISE</t>
  </si>
  <si>
    <t>ST-FRAJOU</t>
  </si>
  <si>
    <t>AUSSOUE</t>
  </si>
  <si>
    <t>ST-LAURENT</t>
  </si>
  <si>
    <t>AUZOUE</t>
  </si>
  <si>
    <t>MAGNOAC</t>
  </si>
  <si>
    <t>52</t>
  </si>
  <si>
    <t>GEZE</t>
  </si>
  <si>
    <t>TOTAL NESTE</t>
  </si>
  <si>
    <t>LOT</t>
  </si>
  <si>
    <t>CHARPAL</t>
  </si>
  <si>
    <t>COLAGNE</t>
  </si>
  <si>
    <t>Ville de Mende (Philippe PITOT)</t>
  </si>
  <si>
    <t>TARN_AVEYRON</t>
  </si>
  <si>
    <t>BANCALIE</t>
  </si>
  <si>
    <t>LEZERT</t>
  </si>
  <si>
    <t>DDT81 (Stephane BONNAUD)</t>
  </si>
  <si>
    <t>dont environ 5.5 Mm3 dédiés à l'étiage pour un Vglobal Rassisse+Bancalie de 13Mm3</t>
  </si>
  <si>
    <t>CAMMAZES</t>
  </si>
  <si>
    <t>SOR</t>
  </si>
  <si>
    <t>IEMN (secrétariat)</t>
  </si>
  <si>
    <t>GALAUBE</t>
  </si>
  <si>
    <t>ALZEAU</t>
  </si>
  <si>
    <t>GOUYRE</t>
  </si>
  <si>
    <t>CD82 (Claude DESPLAS-Guillaume BOITIER)</t>
  </si>
  <si>
    <t>RASSISSE</t>
  </si>
  <si>
    <t>DADOU</t>
  </si>
  <si>
    <t>dont environ 7.5 Mm3 dédiés à l'étiage pour un Vglobal Rassisse+Bancalie de 13Mm3</t>
  </si>
  <si>
    <t>ST-FERREOL</t>
  </si>
  <si>
    <t>CANAL MIDI</t>
  </si>
  <si>
    <t>VNF (Belhadj AMRANI)</t>
  </si>
  <si>
    <t>ST-GERAUD</t>
  </si>
  <si>
    <t>CEROU</t>
  </si>
  <si>
    <t>TORDRE</t>
  </si>
  <si>
    <t>FOUROGUE</t>
  </si>
  <si>
    <t>54</t>
  </si>
  <si>
    <t>VERE</t>
  </si>
  <si>
    <t>CD81 (Guillaume Oules)</t>
  </si>
  <si>
    <t>THERONDEL</t>
  </si>
  <si>
    <t>51</t>
  </si>
  <si>
    <t>FALQUETTES</t>
  </si>
  <si>
    <t>53</t>
  </si>
  <si>
    <t>LERE</t>
  </si>
  <si>
    <t>TOTAL TARN AVEYRON</t>
  </si>
  <si>
    <t>ADOUR GARONNE (hors réserves sous convention)</t>
  </si>
  <si>
    <t>Destockage sur l'étiage depuis la date de plus fort remplissage (sans compter les recharges intermédiaires)</t>
  </si>
  <si>
    <t>RESERVES SOUS CONVENTION</t>
  </si>
  <si>
    <t>Destockage sur le mois</t>
  </si>
  <si>
    <t>CAPACITE RESERVE (VOL. POUR ETIAGE) 2009</t>
  </si>
  <si>
    <t>CAPACITE RESERVE (VOL. POUR ETIAGE) 2010</t>
  </si>
  <si>
    <t>CAPACITE RESERVE (VOL. POUR ETIAGE) 2011</t>
  </si>
  <si>
    <t>CAPACITE RESERVE (VOL. POUR ETIAGE) 2012</t>
  </si>
  <si>
    <t>CAPACITE RESERVE (VOL. POUR ETIAGE) 2013</t>
  </si>
  <si>
    <t>CAPACITE RESERVE (VOL. POUR ETIAGE) 2014</t>
  </si>
  <si>
    <t>CAPACITE RESERVE (VOL. POUR ETIAGE) 2015</t>
  </si>
  <si>
    <t>CAPACITE RESERVE (VOL. POUR ETIAGE) 2016</t>
  </si>
  <si>
    <t>CAPACITE RESERVE (VOL. POUR ETIAGE) 2017</t>
  </si>
  <si>
    <t>CAPACITE RESERVE (VOL. POUR ETIAGE) 2018</t>
  </si>
  <si>
    <t>CAPACITE RESERVE (VOL. POUR ETIAGE) 2019</t>
  </si>
  <si>
    <t>CAPACITE RESERVE (VOL. POUR ETIAGE) 2020</t>
  </si>
  <si>
    <t>CAPACITE RESERVE (VOL. POUR ETIAGE) 2022</t>
  </si>
  <si>
    <t>CAPACITE RESERVE (VOL. POUR ETIAGE) 2023</t>
  </si>
  <si>
    <t>Période de conventionnement</t>
  </si>
  <si>
    <t>THURIES</t>
  </si>
  <si>
    <t>50</t>
  </si>
  <si>
    <t>VIAUR</t>
  </si>
  <si>
    <t>EDF Hydro Sud Ouest (Florence ARDORINO)</t>
  </si>
  <si>
    <t>01/07 au 31/10 (1,1Mm3)</t>
  </si>
  <si>
    <t>ENTRAYGUES</t>
  </si>
  <si>
    <t>TRUYERE</t>
  </si>
  <si>
    <t>EDF - Groupe Exploitation Lot-Truyère (Christophe CHARENTON)</t>
  </si>
  <si>
    <t>01/07 au 31/10 (33Mm3)</t>
  </si>
  <si>
    <t>TARN</t>
  </si>
  <si>
    <t>ST-PEYRES</t>
  </si>
  <si>
    <t>AGOUT</t>
  </si>
  <si>
    <t>01/07 au 31/10 (dont 2,5Mm3 pour la Garonne et 20Mm3 pour le Tarn)</t>
  </si>
  <si>
    <t>AVEYRON</t>
  </si>
  <si>
    <t>PARELOUP</t>
  </si>
  <si>
    <t>VIOULOU</t>
  </si>
  <si>
    <t>01/07 au 31/10 (5Mm3)</t>
  </si>
  <si>
    <t>GREZIOLLES</t>
  </si>
  <si>
    <t>ADOUR DE GARET</t>
  </si>
  <si>
    <t>institution Adour (Stéphane Simon) / EDF Hydro Sud Ouest (Hervé DAUBEUF)</t>
  </si>
  <si>
    <t>15/07 au 30/09 (2.8Mm3)</t>
  </si>
  <si>
    <t xml:space="preserve">SYSTÈME NESTE HAUTE MONTAGNE - volume déduit de lâchers agricole      </t>
  </si>
  <si>
    <t>NESTE HAUTE-MONTAGNE</t>
  </si>
  <si>
    <t>48Mm3 du 01/06 au 31/12 et sur le volume restant : 10 Mm3 en janvier et 5 Mm3 en février</t>
  </si>
  <si>
    <t>IGLS (EDF)</t>
  </si>
  <si>
    <t>ARIEGE</t>
  </si>
  <si>
    <t>EDF soutien étiage UPSO</t>
  </si>
  <si>
    <t>01/07 (si possible 15/06) au 31/10 (53Mm3)</t>
  </si>
  <si>
    <t>LAC D'OO</t>
  </si>
  <si>
    <t>LA NESTE D'OO</t>
  </si>
  <si>
    <t>8 Mm3 du 01/09 (si possible 15/08) au 31/10</t>
  </si>
  <si>
    <t>TOTAL RESERVES SOUS CONVENTION</t>
  </si>
  <si>
    <r>
      <rPr>
        <sz val="10"/>
        <rFont val="Arial"/>
        <family val="2"/>
        <charset val="1"/>
      </rPr>
      <t xml:space="preserve">Note Entraygues:  le volume disponible pour le soutien d’étiage n’est pas connu en début de campagne. Le volume « plafond » est de 33mM³  mais il n’est pas systématiquement atteint en début de saison. La moyenne se situant aux environ de 21,9 Mm³. 
Le volume disponible évolue en fonction de droits acquis au fur et à mesure de l’été. 
</t>
    </r>
    <r>
      <rPr>
        <b/>
        <sz val="10"/>
        <rFont val="Arial"/>
        <family val="2"/>
        <charset val="1"/>
      </rPr>
      <t xml:space="preserve">Le volume inscrit correspond au volume acquis non déstocké au soutien d’étiage. Et le taux de remplissage correspond à un taux de disponibilité : Volume acquis / Volume disponible </t>
    </r>
  </si>
  <si>
    <t>Destockage sur l'étiage depuis le 1er juillet</t>
  </si>
  <si>
    <t xml:space="preserve"> </t>
  </si>
  <si>
    <t>Mai</t>
  </si>
  <si>
    <t>Juin</t>
  </si>
  <si>
    <t>Juillet</t>
  </si>
  <si>
    <t>Septembre</t>
  </si>
  <si>
    <t>Octobre</t>
  </si>
  <si>
    <t>Août</t>
  </si>
  <si>
    <t>Janvier-Février</t>
  </si>
  <si>
    <t>01 Mars 2023</t>
  </si>
  <si>
    <t>01 Février 2023</t>
  </si>
  <si>
    <t>Sous-bassin
(hors réserves sous convention)</t>
  </si>
  <si>
    <t>Taux de remplissage
1er mars 2023 (%)</t>
  </si>
  <si>
    <t>Taux de remplissage
1er février 2023 (%)</t>
  </si>
  <si>
    <t>Remplissage %</t>
  </si>
  <si>
    <t>Remplissage Mm³</t>
  </si>
  <si>
    <t>Différence %</t>
  </si>
  <si>
    <t>Différence Mm³</t>
  </si>
  <si>
    <t>Adour</t>
  </si>
  <si>
    <t>Charente</t>
  </si>
  <si>
    <t>Dordogne</t>
  </si>
  <si>
    <t>Garonne</t>
  </si>
  <si>
    <t>Lot</t>
  </si>
  <si>
    <t>Système Neste</t>
  </si>
  <si>
    <t>Tarn-Aveyron</t>
  </si>
  <si>
    <t>Total non conventionné</t>
  </si>
  <si>
    <t>Total conventionné</t>
  </si>
  <si>
    <t>Mars-Avril</t>
  </si>
  <si>
    <t>01 Avril 2023</t>
  </si>
  <si>
    <t>Taux de remplissage
1er mai 2023 (%)</t>
  </si>
  <si>
    <t>Taux de remplissage
1er avril 2023 (%)</t>
  </si>
  <si>
    <t>SUIVI DECADAIRE ETIAGE</t>
  </si>
  <si>
    <t>01 Juin 2023</t>
  </si>
  <si>
    <t>Taux de remplissage
1er juin 2023 (%)</t>
  </si>
  <si>
    <t>Sous-bassin</t>
  </si>
  <si>
    <t>Taux de remplissage
10 juin 2023 (%)</t>
  </si>
  <si>
    <t>Taux de remplissage
20 juin 2023 (%)</t>
  </si>
  <si>
    <t>01 Juillet 2023</t>
  </si>
  <si>
    <t>10 Juillet 2023</t>
  </si>
  <si>
    <t>20 Juillet 2023</t>
  </si>
  <si>
    <t>Taux de remplissage
1er juillet 2023 (%)</t>
  </si>
  <si>
    <t>Taux de remplissage
10 juillet 2023 (%)</t>
  </si>
  <si>
    <t>Taux de remplissage
20 juillet 2023 (%)</t>
  </si>
  <si>
    <t>01 Aout 2023</t>
  </si>
  <si>
    <t>=/= 1er Aout 2023 - 1er Juillet 2023</t>
  </si>
  <si>
    <t>10 Aout 2023</t>
  </si>
  <si>
    <t>20 Aout 2023</t>
  </si>
  <si>
    <t>Taux de remplissage
1er août 2023 (%)</t>
  </si>
  <si>
    <t>Taux de remplissage
10 aout 2023 (%)</t>
  </si>
  <si>
    <t>Taux de remplissage
20 aout 2023 (%)</t>
  </si>
  <si>
    <t>01 septembre 2023</t>
  </si>
  <si>
    <t>10 Septembre 2023</t>
  </si>
  <si>
    <t>20 Septembre 2023</t>
  </si>
  <si>
    <t>Taux de remplissage
1er septembre 2023 (%)</t>
  </si>
  <si>
    <t>Taux de remplissage
10 sept 2023 (%)</t>
  </si>
  <si>
    <t>Taux de remplissage
20 sept 2023 (%)</t>
  </si>
  <si>
    <t>01 octobre 2023</t>
  </si>
  <si>
    <t>10 Octobre 2023</t>
  </si>
  <si>
    <t>20 Octobre 2023</t>
  </si>
  <si>
    <t>Taux de remplissage
1er octobre 2023 (%)</t>
  </si>
  <si>
    <t>Taux de remplissage
10 oct 2023 (%)</t>
  </si>
  <si>
    <t>Taux de remplissage
20 oct 2023 (%)</t>
  </si>
  <si>
    <t>Jusqu’au 31/10</t>
  </si>
  <si>
    <t>Jusqu’au 31/12</t>
  </si>
  <si>
    <t>01 novembre 2023</t>
  </si>
  <si>
    <t>Taux de remplissage
1er novembre 2023 (%)</t>
  </si>
  <si>
    <t>Novembre-Décembre</t>
  </si>
  <si>
    <t>Taux de remplissage
1er décembre 2023 (%)</t>
  </si>
  <si>
    <t>Capacite_max</t>
  </si>
  <si>
    <t>Remplissage</t>
  </si>
  <si>
    <t>Taux de remplissage</t>
  </si>
  <si>
    <t>CODE_ROE</t>
  </si>
  <si>
    <t>Commentaires</t>
  </si>
  <si>
    <t>ROE46508</t>
  </si>
  <si>
    <t>ROE14350</t>
  </si>
  <si>
    <t>ROE40282</t>
  </si>
  <si>
    <t>ROE44164</t>
  </si>
  <si>
    <t>ROE29010</t>
  </si>
  <si>
    <t>ROE18096</t>
  </si>
  <si>
    <t>ROE45402</t>
  </si>
  <si>
    <t>ROE28324</t>
  </si>
  <si>
    <t>ROE4902</t>
  </si>
  <si>
    <t>ROE19770</t>
  </si>
  <si>
    <t>ROE48670</t>
  </si>
  <si>
    <t>ROE4887</t>
  </si>
  <si>
    <t>ROE4905</t>
  </si>
  <si>
    <t>ROE16116</t>
  </si>
  <si>
    <t>ROE76176</t>
  </si>
  <si>
    <t>ROE17017</t>
  </si>
  <si>
    <t>ROE33893</t>
  </si>
  <si>
    <t>ROE17997</t>
  </si>
  <si>
    <t>ROE1903</t>
  </si>
  <si>
    <t>ROE45049</t>
  </si>
  <si>
    <t>ROE30699</t>
  </si>
  <si>
    <t>ROE49261</t>
  </si>
  <si>
    <t>ROE46371</t>
  </si>
  <si>
    <t>ROE16758</t>
  </si>
  <si>
    <t>ROE47389</t>
  </si>
  <si>
    <t>ROE4924</t>
  </si>
  <si>
    <t>ROE12733</t>
  </si>
  <si>
    <t>ROE35089</t>
  </si>
  <si>
    <t>ROE46238</t>
  </si>
  <si>
    <t>ROE3651</t>
  </si>
  <si>
    <t>ROE36407</t>
  </si>
  <si>
    <t>ROE51456 + ROE51454</t>
  </si>
  <si>
    <t>ROE43410</t>
  </si>
  <si>
    <t>ROE15652</t>
  </si>
  <si>
    <t>ROE6866</t>
  </si>
  <si>
    <t>ROE46372</t>
  </si>
  <si>
    <t>ROE71490</t>
  </si>
  <si>
    <t>ROE15766</t>
  </si>
  <si>
    <t>ROE20094</t>
  </si>
  <si>
    <t>ROE50230</t>
  </si>
  <si>
    <t>ROE13868</t>
  </si>
  <si>
    <t>ROE46373</t>
  </si>
  <si>
    <t>ROE19940</t>
  </si>
  <si>
    <t>ROE35102</t>
  </si>
  <si>
    <t>ROE30639</t>
  </si>
  <si>
    <t>ROE75701</t>
  </si>
  <si>
    <t>ROE17913</t>
  </si>
  <si>
    <t>ROE12768</t>
  </si>
  <si>
    <t>ROE15728</t>
  </si>
  <si>
    <t>ROE18413</t>
  </si>
  <si>
    <t>ROE16302</t>
  </si>
  <si>
    <t>ROE14003</t>
  </si>
  <si>
    <t>ROE16757</t>
  </si>
  <si>
    <t xml:space="preserve">Droits conventionnels cumulés de l'Entente (théorique sans plafonnement des droits) </t>
  </si>
  <si>
    <t xml:space="preserve">Volume cumulé déstocké de soutien d'étiage </t>
  </si>
  <si>
    <t xml:space="preserve">Bilan saisonnier réel (avec plafonnement des droits à 33Mm3) </t>
  </si>
  <si>
    <t>CAPACITE RESERVE 2024</t>
  </si>
  <si>
    <t>CAPACITE RESERVE (VOL. POUR ETIAGE) 2024</t>
  </si>
  <si>
    <t xml:space="preserve">Note Entraygues:  le volume disponible pour le soutien d’étiage n’est pas connu en début de campagne. Le volume « plafond » est de 33mM³  mais il n’est pas systématiquement atteint en début de saison. La moyenne se situant aux environ de 21,9 Mm³. 
Le volume disponible évolue en fonction de droits acquis au fur et à mesure de l’été. 
Le volume inscrit correspond au volume acquis non déstocké au soutien d’étiage. Et le taux de remplissage correspond à un taux de disponibilité : Volume acquis / Volume disponible </t>
  </si>
  <si>
    <t>01 Février 2024</t>
  </si>
  <si>
    <t>=/= 1er Fev 2024-2023</t>
  </si>
  <si>
    <t>=/= 1er Fev 2024 - 1er Jan 2024</t>
  </si>
  <si>
    <t>Taux de remplissage
1er mars 2024 (%)</t>
  </si>
  <si>
    <t>Taux de remplissage
1er février 2024 (%)</t>
  </si>
  <si>
    <t>Taux de remplissage
1er janvier 2024 (%)</t>
  </si>
  <si>
    <t>-</t>
  </si>
  <si>
    <t>No data</t>
  </si>
  <si>
    <t>01 Mars 2024</t>
  </si>
  <si>
    <t>=/= 1er Mars 2024-2023</t>
  </si>
  <si>
    <t>=/= 1er Mars 2024 - 1er Fev 2024</t>
  </si>
  <si>
    <t>Taux de remplissage
1er mai 2024 (%)</t>
  </si>
  <si>
    <t>Taux de remplissage
1er avril 2024 (%)</t>
  </si>
  <si>
    <t>01 Mai 2024</t>
  </si>
  <si>
    <t>01 Mai 2023</t>
  </si>
  <si>
    <t>=/= 1er Mai 2024-2023</t>
  </si>
  <si>
    <t>=/= 1er Mai 2024 - 1er Avril 2024</t>
  </si>
  <si>
    <t>01 Avril 2024</t>
  </si>
  <si>
    <t>=/= 1er Avril 2024-2023</t>
  </si>
  <si>
    <t>=/= 1er Avril 2024 - 1er Mars 2024</t>
  </si>
  <si>
    <t>Taux de remplissage
1er juin 2024 (%)</t>
  </si>
  <si>
    <t>Taux de remplissage
1er juillet 2024 (%)</t>
  </si>
  <si>
    <t>Taux de remplissage
1er août 2024 (%)</t>
  </si>
  <si>
    <t>Taux de remplissage
1er septembre 2024 (%)</t>
  </si>
  <si>
    <t>Taux de remplissage
1er octobre 2024 (%)</t>
  </si>
  <si>
    <t>Taux de remplissage
1er novembre 2024 (%)</t>
  </si>
  <si>
    <r>
      <t>Taux de remplissage
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janvier 2025 (%)</t>
    </r>
  </si>
  <si>
    <t>Taux de remplissage
1er décembre 2024 (%)</t>
  </si>
  <si>
    <t>10 Juin 2023</t>
  </si>
  <si>
    <t>=/= 1er Juin 2024-2023</t>
  </si>
  <si>
    <t>=/= 10 Juin 2024-2023</t>
  </si>
  <si>
    <t>=/= 1er Juin 2024 - 1er Mai 2024</t>
  </si>
  <si>
    <t>=/= 10 Juin 2024 - 1er Juin 2024</t>
  </si>
  <si>
    <t>20 Juin 2023</t>
  </si>
  <si>
    <t>=/= 20 Juin 2024-2023</t>
  </si>
  <si>
    <t>=/= 20 Juin 2024 - 10 Juin 2024</t>
  </si>
  <si>
    <t>01 Juin 2024</t>
  </si>
  <si>
    <t>10 Juin 2024</t>
  </si>
  <si>
    <t>20 Juin 2024</t>
  </si>
  <si>
    <t>01 Juillet 2024</t>
  </si>
  <si>
    <t>=/= 1er Juillet 2024-2023</t>
  </si>
  <si>
    <t>=/= 1er Juillet 2024 - 20 Juin 2024</t>
  </si>
  <si>
    <t>10 Juillet 2024</t>
  </si>
  <si>
    <t>=/= 10 Juillet 2024-2023</t>
  </si>
  <si>
    <t>=/= 10 Juillet 2024 - 1er Juillet 2024</t>
  </si>
  <si>
    <t>20 Juillet 2024</t>
  </si>
  <si>
    <t>=/= 20 Juillet 2024-2023</t>
  </si>
  <si>
    <t>=/= 20 Juillet 2024 - 10 Juillet 2024</t>
  </si>
  <si>
    <t>01 Aout 2024</t>
  </si>
  <si>
    <t>=/= 1er Aout 2024-2023</t>
  </si>
  <si>
    <t>10 Aout 2024</t>
  </si>
  <si>
    <t>=/= 10 Aout 2024-2023</t>
  </si>
  <si>
    <t>=/= 1er Aout 2024 - 10 Août 2024</t>
  </si>
  <si>
    <t>20 Aout 2024</t>
  </si>
  <si>
    <t>=/= 20 Aout 2024-2023</t>
  </si>
  <si>
    <t>=/= 10 Aout 2024 - 20 Août 2024</t>
  </si>
  <si>
    <t>"≠ 10 - 20 Septembre 2024</t>
  </si>
  <si>
    <t>=/= 20 Septembre 2024-2023</t>
  </si>
  <si>
    <t>20 Septembre 2024</t>
  </si>
  <si>
    <t>=/= 1er Septembre 2024 - 10 Septembre 2024</t>
  </si>
  <si>
    <t>=/= 10 Septembre 2024-2023</t>
  </si>
  <si>
    <t>10 Septembre 2024</t>
  </si>
  <si>
    <t>01 septembre 2024</t>
  </si>
  <si>
    <t>=/= 1er Aout 2024 - 1er Juillet 2024</t>
  </si>
  <si>
    <t>01 octobre 2024</t>
  </si>
  <si>
    <t>=/= 1er octobre 2024-2023</t>
  </si>
  <si>
    <t>=/= 01/10/2024 - 01/09/2024</t>
  </si>
  <si>
    <t>10 Octobre 2024</t>
  </si>
  <si>
    <t>=/= 10 Octobre 2024-2023</t>
  </si>
  <si>
    <t>=/= 1er Octobre 2024 - 10 Octobre 2024</t>
  </si>
  <si>
    <t>20 Octobre 2024</t>
  </si>
  <si>
    <t>=/= 20 Octobre 2024-2023</t>
  </si>
  <si>
    <t>"≠ 10 - 20 octobre 2024</t>
  </si>
  <si>
    <t>01 novembre 2024</t>
  </si>
  <si>
    <t>=/= 1er novembre 2024-2023</t>
  </si>
  <si>
    <t>== 01/11/2024 - 20/10/2024</t>
  </si>
  <si>
    <r>
      <t>Note St-Peyres: Suite à un incident, le soutien d'étiage est impossible à partir de la réserve jusqu'à minima le 1er aout.</t>
    </r>
    <r>
      <rPr>
        <b/>
        <sz val="10"/>
        <color rgb="FF0000FF"/>
        <rFont val="Arial"/>
        <family val="2"/>
      </rPr>
      <t xml:space="preserve"> 
Le volume de St-Peyres a été retiré du total des réserves sous convention pour cet période afin d'avoir un % juste.</t>
    </r>
  </si>
  <si>
    <t>NC</t>
  </si>
  <si>
    <t>15/07 au 08/09 (2.8Mm3)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</si>
</sst>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\ %"/>
    <numFmt numFmtId="165" formatCode="dd/mm/yy;@"/>
    <numFmt numFmtId="166" formatCode="0.0%"/>
    <numFmt numFmtId="167" formatCode="0.0"/>
    <numFmt numFmtId="168" formatCode="0.0000"/>
    <numFmt numFmtId="169" formatCode="0.000"/>
    <numFmt numFmtId="170" formatCode="0.00\ %"/>
    <numFmt numFmtId="171" formatCode="#,##0.0"/>
  </numFmts>
  <fonts count="31">
    <font>
      <sz val="1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i/>
      <sz val="11"/>
      <color rgb="FF0000FF"/>
      <name val="Arial"/>
      <family val="2"/>
    </font>
    <font>
      <b/>
      <sz val="10"/>
      <name val="Arial"/>
      <family val="2"/>
      <charset val="1"/>
    </font>
    <font>
      <i/>
      <sz val="10"/>
      <color rgb="FF969696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b/>
      <sz val="10"/>
      <color rgb="FF993366"/>
      <name val="Arial"/>
      <family val="2"/>
      <charset val="1"/>
    </font>
    <font>
      <b/>
      <i/>
      <sz val="10"/>
      <color rgb="FF969696"/>
      <name val="Arial"/>
      <family val="2"/>
      <charset val="1"/>
    </font>
    <font>
      <sz val="10"/>
      <name val="Arial Unicode MS"/>
      <charset val="1"/>
    </font>
    <font>
      <b/>
      <sz val="10"/>
      <color rgb="FFFF0000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color rgb="FFC0C0C0"/>
      <name val="Arial"/>
      <family val="2"/>
      <charset val="1"/>
    </font>
    <font>
      <b/>
      <sz val="10"/>
      <color rgb="FF0000FF"/>
      <name val="Arial"/>
      <family val="2"/>
      <charset val="1"/>
    </font>
    <font>
      <i/>
      <sz val="10"/>
      <color rgb="FFA6A6A6"/>
      <name val="Arial"/>
      <family val="2"/>
      <charset val="1"/>
    </font>
    <font>
      <sz val="10"/>
      <color rgb="FF0000FF"/>
      <name val="Arial"/>
      <family val="2"/>
      <charset val="1"/>
    </font>
    <font>
      <b/>
      <sz val="22"/>
      <name val="Arial"/>
      <family val="2"/>
      <charset val="1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  <charset val="1"/>
    </font>
    <font>
      <b/>
      <sz val="10"/>
      <color rgb="FF0000FF"/>
      <name val="Arial"/>
      <family val="2"/>
    </font>
    <font>
      <sz val="10"/>
      <color theme="1"/>
      <name val="Arial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99"/>
        <bgColor rgb="FFFFFFA6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38"/>
      </patternFill>
    </fill>
    <fill>
      <patternFill patternType="solid">
        <fgColor rgb="FF333333"/>
        <bgColor rgb="FF333300"/>
      </patternFill>
    </fill>
    <fill>
      <patternFill patternType="solid">
        <fgColor rgb="FFBABABA"/>
        <bgColor rgb="FFBFBFBF"/>
      </patternFill>
    </fill>
    <fill>
      <patternFill patternType="solid">
        <fgColor rgb="FFCCFFFF"/>
        <bgColor rgb="FFCCFFCC"/>
      </patternFill>
    </fill>
    <fill>
      <patternFill patternType="solid">
        <fgColor rgb="FFB2B2B2"/>
        <bgColor rgb="FFBABABA"/>
      </patternFill>
    </fill>
    <fill>
      <patternFill patternType="solid">
        <fgColor rgb="FFFFF2CC"/>
        <bgColor rgb="FFFFFBCC"/>
      </patternFill>
    </fill>
    <fill>
      <patternFill patternType="solid">
        <fgColor rgb="FFFF7B59"/>
        <bgColor rgb="FFFF6D6D"/>
      </patternFill>
    </fill>
    <fill>
      <patternFill patternType="solid">
        <fgColor rgb="FFFF8000"/>
        <bgColor rgb="FFED7D31"/>
      </patternFill>
    </fill>
    <fill>
      <patternFill patternType="solid">
        <fgColor rgb="FFC0C0C0"/>
        <bgColor rgb="FFBFBFBF"/>
      </patternFill>
    </fill>
    <fill>
      <patternFill patternType="solid">
        <fgColor rgb="FFA6A6A6"/>
        <bgColor rgb="FFA5A5A5"/>
      </patternFill>
    </fill>
    <fill>
      <patternFill patternType="solid">
        <fgColor rgb="FFBFBFBF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DEE6EF"/>
        <bgColor rgb="FFD9D9D9"/>
      </patternFill>
    </fill>
    <fill>
      <patternFill patternType="solid">
        <fgColor rgb="FFFF6D6D"/>
        <bgColor rgb="FFFF7B59"/>
      </patternFill>
    </fill>
    <fill>
      <patternFill patternType="solid">
        <fgColor rgb="FF81D41A"/>
        <bgColor rgb="FFA9D18E"/>
      </patternFill>
    </fill>
    <fill>
      <patternFill patternType="solid">
        <fgColor rgb="FFB4C7DC"/>
        <bgColor rgb="FFC0C0C0"/>
      </patternFill>
    </fill>
    <fill>
      <patternFill patternType="solid">
        <fgColor rgb="FFFFD7D7"/>
        <bgColor rgb="FFD9D9D9"/>
      </patternFill>
    </fill>
    <fill>
      <patternFill patternType="solid">
        <fgColor rgb="FFFFFFA6"/>
        <bgColor rgb="FFFFFF99"/>
      </patternFill>
    </fill>
    <fill>
      <patternFill patternType="solid">
        <fgColor rgb="FFE8F2A1"/>
        <bgColor rgb="FFFFFFA6"/>
      </patternFill>
    </fill>
    <fill>
      <patternFill patternType="solid">
        <fgColor rgb="FFFFCC00"/>
        <bgColor rgb="FFFFC000"/>
      </patternFill>
    </fill>
    <fill>
      <patternFill patternType="solid">
        <fgColor rgb="FFFFFB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0" fillId="0" borderId="0" applyBorder="0" applyProtection="0"/>
    <xf numFmtId="164" fontId="10" fillId="0" borderId="0" applyBorder="0" applyProtection="0"/>
  </cellStyleXfs>
  <cellXfs count="426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Alignment="1">
      <alignment vertical="center"/>
    </xf>
    <xf numFmtId="0" fontId="8" fillId="0" borderId="0" xfId="0" applyFont="1"/>
    <xf numFmtId="0" fontId="9" fillId="3" borderId="5" xfId="2" applyNumberFormat="1" applyFont="1" applyFill="1" applyBorder="1" applyAlignment="1" applyProtection="1">
      <alignment horizontal="center" vertical="center"/>
    </xf>
    <xf numFmtId="0" fontId="9" fillId="3" borderId="6" xfId="2" applyNumberFormat="1" applyFont="1" applyFill="1" applyBorder="1" applyAlignment="1" applyProtection="1">
      <alignment horizontal="center" vertical="center"/>
    </xf>
    <xf numFmtId="0" fontId="9" fillId="3" borderId="7" xfId="2" applyNumberFormat="1" applyFont="1" applyFill="1" applyBorder="1" applyAlignment="1" applyProtection="1">
      <alignment horizontal="center" vertical="center" wrapText="1"/>
    </xf>
    <xf numFmtId="0" fontId="9" fillId="3" borderId="8" xfId="2" applyNumberFormat="1" applyFont="1" applyFill="1" applyBorder="1" applyAlignment="1" applyProtection="1">
      <alignment horizontal="center" vertical="center" wrapText="1"/>
    </xf>
    <xf numFmtId="0" fontId="9" fillId="3" borderId="6" xfId="2" applyNumberFormat="1" applyFont="1" applyFill="1" applyBorder="1" applyAlignment="1" applyProtection="1">
      <alignment horizontal="center" vertical="center" wrapText="1"/>
    </xf>
    <xf numFmtId="0" fontId="9" fillId="3" borderId="9" xfId="2" applyNumberFormat="1" applyFont="1" applyFill="1" applyBorder="1" applyAlignment="1" applyProtection="1">
      <alignment horizontal="center" vertical="center" wrapText="1"/>
    </xf>
    <xf numFmtId="0" fontId="9" fillId="3" borderId="10" xfId="2" applyNumberFormat="1" applyFont="1" applyFill="1" applyBorder="1" applyAlignment="1" applyProtection="1">
      <alignment horizontal="center" vertical="center" wrapText="1"/>
    </xf>
    <xf numFmtId="0" fontId="9" fillId="3" borderId="11" xfId="2" applyNumberFormat="1" applyFont="1" applyFill="1" applyBorder="1" applyAlignment="1" applyProtection="1">
      <alignment horizontal="center" vertical="center" wrapText="1"/>
    </xf>
    <xf numFmtId="165" fontId="7" fillId="3" borderId="11" xfId="0" applyNumberFormat="1" applyFont="1" applyFill="1" applyBorder="1" applyAlignment="1">
      <alignment vertical="center"/>
    </xf>
    <xf numFmtId="14" fontId="7" fillId="3" borderId="12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3" xfId="2" applyNumberFormat="1" applyFont="1" applyBorder="1" applyAlignment="1" applyProtection="1">
      <alignment wrapText="1"/>
    </xf>
    <xf numFmtId="0" fontId="11" fillId="0" borderId="14" xfId="2" applyNumberFormat="1" applyFont="1" applyBorder="1" applyAlignment="1" applyProtection="1">
      <alignment wrapText="1"/>
    </xf>
    <xf numFmtId="0" fontId="11" fillId="0" borderId="14" xfId="2" applyNumberFormat="1" applyFont="1" applyBorder="1" applyAlignment="1" applyProtection="1">
      <alignment horizontal="center" wrapText="1"/>
    </xf>
    <xf numFmtId="0" fontId="12" fillId="0" borderId="15" xfId="2" applyNumberFormat="1" applyFont="1" applyBorder="1" applyAlignment="1" applyProtection="1">
      <alignment wrapText="1"/>
    </xf>
    <xf numFmtId="0" fontId="11" fillId="0" borderId="16" xfId="2" applyNumberFormat="1" applyFont="1" applyBorder="1" applyAlignment="1" applyProtection="1">
      <alignment horizontal="right" wrapText="1"/>
    </xf>
    <xf numFmtId="0" fontId="11" fillId="0" borderId="17" xfId="2" applyNumberFormat="1" applyFont="1" applyBorder="1" applyAlignment="1" applyProtection="1">
      <alignment horizontal="right" wrapText="1"/>
    </xf>
    <xf numFmtId="0" fontId="11" fillId="0" borderId="18" xfId="2" applyNumberFormat="1" applyFont="1" applyBorder="1" applyAlignment="1" applyProtection="1">
      <alignment horizontal="right" wrapText="1"/>
    </xf>
    <xf numFmtId="0" fontId="11" fillId="0" borderId="19" xfId="2" applyNumberFormat="1" applyFont="1" applyBorder="1" applyAlignment="1" applyProtection="1">
      <alignment horizontal="right" wrapText="1"/>
    </xf>
    <xf numFmtId="0" fontId="11" fillId="0" borderId="20" xfId="2" applyNumberFormat="1" applyFont="1" applyBorder="1" applyAlignment="1" applyProtection="1">
      <alignment horizontal="right" wrapText="1"/>
    </xf>
    <xf numFmtId="2" fontId="0" fillId="0" borderId="21" xfId="0" applyNumberFormat="1" applyBorder="1"/>
    <xf numFmtId="166" fontId="13" fillId="0" borderId="22" xfId="2" applyNumberFormat="1" applyFont="1" applyBorder="1" applyAlignment="1" applyProtection="1">
      <alignment horizontal="right" wrapText="1"/>
    </xf>
    <xf numFmtId="0" fontId="0" fillId="0" borderId="1" xfId="0" applyFont="1" applyBorder="1" applyAlignment="1">
      <alignment vertical="center"/>
    </xf>
    <xf numFmtId="0" fontId="11" fillId="0" borderId="23" xfId="2" applyNumberFormat="1" applyFont="1" applyBorder="1" applyAlignment="1" applyProtection="1">
      <alignment wrapText="1"/>
    </xf>
    <xf numFmtId="0" fontId="11" fillId="0" borderId="1" xfId="2" applyNumberFormat="1" applyFont="1" applyBorder="1" applyAlignment="1" applyProtection="1">
      <alignment wrapText="1"/>
    </xf>
    <xf numFmtId="0" fontId="11" fillId="0" borderId="1" xfId="2" applyNumberFormat="1" applyFont="1" applyBorder="1" applyAlignment="1" applyProtection="1">
      <alignment horizontal="center" wrapText="1"/>
    </xf>
    <xf numFmtId="0" fontId="12" fillId="0" borderId="24" xfId="2" applyNumberFormat="1" applyFont="1" applyBorder="1" applyAlignment="1" applyProtection="1">
      <alignment wrapText="1"/>
    </xf>
    <xf numFmtId="0" fontId="11" fillId="0" borderId="3" xfId="2" applyNumberFormat="1" applyFont="1" applyBorder="1" applyAlignment="1" applyProtection="1">
      <alignment horizontal="right" wrapText="1"/>
    </xf>
    <xf numFmtId="0" fontId="11" fillId="0" borderId="1" xfId="2" applyNumberFormat="1" applyFont="1" applyBorder="1" applyAlignment="1" applyProtection="1">
      <alignment horizontal="right" wrapText="1"/>
    </xf>
    <xf numFmtId="0" fontId="11" fillId="0" borderId="25" xfId="2" applyNumberFormat="1" applyFont="1" applyBorder="1" applyAlignment="1" applyProtection="1">
      <alignment horizontal="right" wrapText="1"/>
    </xf>
    <xf numFmtId="2" fontId="11" fillId="0" borderId="26" xfId="2" applyNumberFormat="1" applyFont="1" applyBorder="1" applyAlignment="1" applyProtection="1">
      <alignment horizontal="right" wrapText="1"/>
    </xf>
    <xf numFmtId="2" fontId="11" fillId="0" borderId="27" xfId="2" applyNumberFormat="1" applyFont="1" applyBorder="1" applyAlignment="1" applyProtection="1">
      <alignment horizontal="right" wrapText="1"/>
    </xf>
    <xf numFmtId="2" fontId="0" fillId="0" borderId="23" xfId="0" applyNumberFormat="1" applyBorder="1"/>
    <xf numFmtId="166" fontId="13" fillId="0" borderId="24" xfId="2" applyNumberFormat="1" applyFont="1" applyBorder="1" applyAlignment="1" applyProtection="1">
      <alignment horizontal="right" wrapText="1"/>
    </xf>
    <xf numFmtId="0" fontId="8" fillId="4" borderId="0" xfId="0" applyFont="1" applyFill="1"/>
    <xf numFmtId="0" fontId="0" fillId="4" borderId="0" xfId="0" applyFill="1"/>
    <xf numFmtId="2" fontId="0" fillId="0" borderId="0" xfId="0" applyNumberFormat="1"/>
    <xf numFmtId="0" fontId="11" fillId="0" borderId="28" xfId="2" applyNumberFormat="1" applyFont="1" applyBorder="1" applyAlignment="1" applyProtection="1">
      <alignment wrapText="1"/>
    </xf>
    <xf numFmtId="0" fontId="11" fillId="0" borderId="29" xfId="2" applyNumberFormat="1" applyFont="1" applyBorder="1" applyAlignment="1" applyProtection="1">
      <alignment wrapText="1"/>
    </xf>
    <xf numFmtId="0" fontId="11" fillId="0" borderId="29" xfId="2" applyNumberFormat="1" applyFont="1" applyBorder="1" applyAlignment="1" applyProtection="1">
      <alignment horizontal="center" wrapText="1"/>
    </xf>
    <xf numFmtId="0" fontId="12" fillId="0" borderId="30" xfId="2" applyNumberFormat="1" applyFont="1" applyBorder="1" applyAlignment="1" applyProtection="1">
      <alignment wrapText="1"/>
    </xf>
    <xf numFmtId="0" fontId="11" fillId="0" borderId="31" xfId="2" applyNumberFormat="1" applyFont="1" applyBorder="1" applyAlignment="1" applyProtection="1">
      <alignment horizontal="right" wrapText="1"/>
    </xf>
    <xf numFmtId="0" fontId="11" fillId="0" borderId="29" xfId="2" applyNumberFormat="1" applyFont="1" applyBorder="1" applyAlignment="1" applyProtection="1">
      <alignment horizontal="right" wrapText="1"/>
    </xf>
    <xf numFmtId="0" fontId="11" fillId="0" borderId="32" xfId="2" applyNumberFormat="1" applyFont="1" applyBorder="1" applyAlignment="1" applyProtection="1">
      <alignment horizontal="right" wrapText="1"/>
    </xf>
    <xf numFmtId="2" fontId="11" fillId="0" borderId="33" xfId="2" applyNumberFormat="1" applyFont="1" applyBorder="1" applyAlignment="1" applyProtection="1">
      <alignment horizontal="right" wrapText="1"/>
    </xf>
    <xf numFmtId="2" fontId="11" fillId="0" borderId="34" xfId="2" applyNumberFormat="1" applyFont="1" applyBorder="1" applyAlignment="1" applyProtection="1">
      <alignment horizontal="right" wrapText="1"/>
    </xf>
    <xf numFmtId="2" fontId="0" fillId="0" borderId="28" xfId="0" applyNumberFormat="1" applyBorder="1"/>
    <xf numFmtId="166" fontId="13" fillId="0" borderId="30" xfId="2" applyNumberFormat="1" applyFont="1" applyBorder="1" applyAlignment="1" applyProtection="1">
      <alignment horizontal="right" wrapText="1"/>
    </xf>
    <xf numFmtId="0" fontId="9" fillId="0" borderId="36" xfId="2" applyNumberFormat="1" applyFont="1" applyBorder="1" applyAlignment="1" applyProtection="1">
      <alignment horizontal="center" wrapText="1"/>
    </xf>
    <xf numFmtId="0" fontId="7" fillId="0" borderId="37" xfId="0" applyFont="1" applyBorder="1"/>
    <xf numFmtId="0" fontId="9" fillId="0" borderId="3" xfId="2" applyNumberFormat="1" applyFont="1" applyBorder="1" applyAlignment="1" applyProtection="1">
      <alignment horizontal="right" wrapText="1"/>
    </xf>
    <xf numFmtId="0" fontId="9" fillId="0" borderId="1" xfId="2" applyNumberFormat="1" applyFont="1" applyBorder="1" applyAlignment="1" applyProtection="1">
      <alignment horizontal="right" wrapText="1"/>
    </xf>
    <xf numFmtId="0" fontId="9" fillId="0" borderId="25" xfId="2" applyNumberFormat="1" applyFont="1" applyBorder="1" applyAlignment="1" applyProtection="1">
      <alignment horizontal="right" wrapText="1"/>
    </xf>
    <xf numFmtId="2" fontId="9" fillId="0" borderId="38" xfId="2" applyNumberFormat="1" applyFont="1" applyBorder="1" applyAlignment="1" applyProtection="1">
      <alignment horizontal="right" wrapText="1"/>
    </xf>
    <xf numFmtId="2" fontId="9" fillId="0" borderId="39" xfId="2" applyNumberFormat="1" applyFont="1" applyBorder="1" applyAlignment="1" applyProtection="1">
      <alignment horizontal="right" wrapText="1"/>
    </xf>
    <xf numFmtId="2" fontId="7" fillId="0" borderId="35" xfId="0" applyNumberFormat="1" applyFont="1" applyBorder="1"/>
    <xf numFmtId="166" fontId="13" fillId="0" borderId="37" xfId="2" applyNumberFormat="1" applyFont="1" applyBorder="1" applyAlignment="1" applyProtection="1">
      <alignment horizontal="right" wrapText="1"/>
    </xf>
    <xf numFmtId="0" fontId="7" fillId="0" borderId="1" xfId="0" applyFont="1" applyBorder="1" applyAlignment="1">
      <alignment vertical="center"/>
    </xf>
    <xf numFmtId="0" fontId="14" fillId="0" borderId="0" xfId="0" applyFont="1"/>
    <xf numFmtId="0" fontId="7" fillId="0" borderId="0" xfId="0" applyFont="1"/>
    <xf numFmtId="0" fontId="11" fillId="5" borderId="40" xfId="2" applyNumberFormat="1" applyFont="1" applyFill="1" applyBorder="1" applyAlignment="1" applyProtection="1">
      <alignment wrapText="1"/>
    </xf>
    <xf numFmtId="0" fontId="11" fillId="5" borderId="40" xfId="2" applyNumberFormat="1" applyFont="1" applyFill="1" applyBorder="1" applyAlignment="1" applyProtection="1">
      <alignment horizontal="center" wrapText="1"/>
    </xf>
    <xf numFmtId="0" fontId="0" fillId="5" borderId="40" xfId="0" applyFill="1" applyBorder="1"/>
    <xf numFmtId="0" fontId="11" fillId="5" borderId="17" xfId="2" applyNumberFormat="1" applyFont="1" applyFill="1" applyBorder="1" applyAlignment="1" applyProtection="1">
      <alignment horizontal="right" wrapText="1"/>
    </xf>
    <xf numFmtId="2" fontId="11" fillId="5" borderId="40" xfId="2" applyNumberFormat="1" applyFont="1" applyFill="1" applyBorder="1" applyAlignment="1" applyProtection="1">
      <alignment horizontal="right" wrapText="1"/>
    </xf>
    <xf numFmtId="2" fontId="11" fillId="5" borderId="41" xfId="2" applyNumberFormat="1" applyFont="1" applyFill="1" applyBorder="1" applyAlignment="1" applyProtection="1">
      <alignment horizontal="right" wrapText="1"/>
    </xf>
    <xf numFmtId="2" fontId="0" fillId="5" borderId="42" xfId="0" applyNumberFormat="1" applyFill="1" applyBorder="1"/>
    <xf numFmtId="166" fontId="13" fillId="5" borderId="43" xfId="2" applyNumberFormat="1" applyFont="1" applyFill="1" applyBorder="1" applyAlignment="1" applyProtection="1">
      <alignment horizontal="right" wrapText="1"/>
    </xf>
    <xf numFmtId="0" fontId="0" fillId="5" borderId="1" xfId="0" applyFill="1" applyBorder="1" applyAlignment="1">
      <alignment vertical="center"/>
    </xf>
    <xf numFmtId="0" fontId="9" fillId="0" borderId="5" xfId="2" applyNumberFormat="1" applyFont="1" applyBorder="1" applyAlignment="1" applyProtection="1">
      <alignment wrapText="1"/>
    </xf>
    <xf numFmtId="0" fontId="11" fillId="0" borderId="6" xfId="2" applyNumberFormat="1" applyFont="1" applyBorder="1" applyAlignment="1" applyProtection="1">
      <alignment wrapText="1"/>
    </xf>
    <xf numFmtId="0" fontId="11" fillId="0" borderId="6" xfId="2" applyNumberFormat="1" applyFont="1" applyBorder="1" applyAlignment="1" applyProtection="1">
      <alignment horizontal="center" wrapText="1"/>
    </xf>
    <xf numFmtId="0" fontId="12" fillId="0" borderId="7" xfId="2" applyNumberFormat="1" applyFont="1" applyBorder="1" applyAlignment="1" applyProtection="1">
      <alignment wrapText="1"/>
    </xf>
    <xf numFmtId="0" fontId="7" fillId="0" borderId="1" xfId="2" applyNumberFormat="1" applyFont="1" applyBorder="1" applyAlignment="1" applyProtection="1">
      <alignment horizontal="right" wrapText="1"/>
    </xf>
    <xf numFmtId="0" fontId="7" fillId="0" borderId="25" xfId="2" applyNumberFormat="1" applyFont="1" applyBorder="1" applyAlignment="1" applyProtection="1">
      <alignment horizontal="right" wrapText="1"/>
    </xf>
    <xf numFmtId="2" fontId="7" fillId="0" borderId="10" xfId="2" applyNumberFormat="1" applyFont="1" applyBorder="1" applyAlignment="1" applyProtection="1">
      <alignment horizontal="right" wrapText="1"/>
    </xf>
    <xf numFmtId="2" fontId="7" fillId="0" borderId="11" xfId="2" applyNumberFormat="1" applyFont="1" applyBorder="1" applyAlignment="1" applyProtection="1">
      <alignment horizontal="right" wrapText="1"/>
    </xf>
    <xf numFmtId="2" fontId="7" fillId="0" borderId="5" xfId="0" applyNumberFormat="1" applyFont="1" applyBorder="1"/>
    <xf numFmtId="166" fontId="13" fillId="0" borderId="7" xfId="2" applyNumberFormat="1" applyFont="1" applyBorder="1" applyAlignment="1" applyProtection="1">
      <alignment horizontal="right" wrapText="1"/>
    </xf>
    <xf numFmtId="0" fontId="11" fillId="5" borderId="17" xfId="2" applyNumberFormat="1" applyFont="1" applyFill="1" applyBorder="1" applyAlignment="1" applyProtection="1">
      <alignment wrapText="1"/>
    </xf>
    <xf numFmtId="0" fontId="11" fillId="5" borderId="17" xfId="2" applyNumberFormat="1" applyFont="1" applyFill="1" applyBorder="1" applyAlignment="1" applyProtection="1">
      <alignment horizontal="center" wrapText="1"/>
    </xf>
    <xf numFmtId="0" fontId="0" fillId="5" borderId="17" xfId="0" applyFill="1" applyBorder="1"/>
    <xf numFmtId="0" fontId="11" fillId="5" borderId="1" xfId="2" applyNumberFormat="1" applyFont="1" applyFill="1" applyBorder="1" applyAlignment="1" applyProtection="1">
      <alignment horizontal="right" wrapText="1"/>
    </xf>
    <xf numFmtId="0" fontId="9" fillId="0" borderId="1" xfId="2" applyNumberFormat="1" applyFont="1" applyBorder="1" applyAlignment="1" applyProtection="1">
      <alignment wrapText="1"/>
    </xf>
    <xf numFmtId="0" fontId="12" fillId="0" borderId="1" xfId="2" applyNumberFormat="1" applyFont="1" applyBorder="1" applyAlignment="1" applyProtection="1">
      <alignment wrapText="1"/>
    </xf>
    <xf numFmtId="2" fontId="9" fillId="0" borderId="19" xfId="2" applyNumberFormat="1" applyFont="1" applyBorder="1" applyAlignment="1" applyProtection="1">
      <alignment horizontal="right" wrapText="1"/>
    </xf>
    <xf numFmtId="2" fontId="9" fillId="0" borderId="20" xfId="2" applyNumberFormat="1" applyFont="1" applyBorder="1" applyAlignment="1" applyProtection="1">
      <alignment horizontal="right" wrapText="1"/>
    </xf>
    <xf numFmtId="0" fontId="11" fillId="0" borderId="1" xfId="0" applyFont="1" applyBorder="1" applyAlignment="1">
      <alignment horizontal="left" vertical="center" readingOrder="1"/>
    </xf>
    <xf numFmtId="0" fontId="11" fillId="5" borderId="1" xfId="2" applyNumberFormat="1" applyFont="1" applyFill="1" applyBorder="1" applyAlignment="1" applyProtection="1">
      <alignment wrapText="1"/>
    </xf>
    <xf numFmtId="0" fontId="11" fillId="5" borderId="1" xfId="2" applyNumberFormat="1" applyFont="1" applyFill="1" applyBorder="1" applyAlignment="1" applyProtection="1">
      <alignment horizontal="center" wrapText="1"/>
    </xf>
    <xf numFmtId="0" fontId="0" fillId="5" borderId="1" xfId="0" applyFill="1" applyBorder="1"/>
    <xf numFmtId="0" fontId="11" fillId="5" borderId="25" xfId="2" applyNumberFormat="1" applyFont="1" applyFill="1" applyBorder="1" applyAlignment="1" applyProtection="1">
      <alignment horizontal="right" wrapText="1"/>
    </xf>
    <xf numFmtId="2" fontId="11" fillId="5" borderId="33" xfId="2" applyNumberFormat="1" applyFont="1" applyFill="1" applyBorder="1" applyAlignment="1" applyProtection="1">
      <alignment horizontal="right" wrapText="1"/>
    </xf>
    <xf numFmtId="2" fontId="11" fillId="5" borderId="34" xfId="2" applyNumberFormat="1" applyFont="1" applyFill="1" applyBorder="1" applyAlignment="1" applyProtection="1">
      <alignment horizontal="right" wrapText="1"/>
    </xf>
    <xf numFmtId="0" fontId="11" fillId="0" borderId="1" xfId="0" applyFont="1" applyBorder="1" applyAlignment="1">
      <alignment horizontal="right" wrapText="1"/>
    </xf>
    <xf numFmtId="0" fontId="11" fillId="0" borderId="25" xfId="0" applyFont="1" applyBorder="1" applyAlignment="1">
      <alignment horizontal="right" wrapText="1"/>
    </xf>
    <xf numFmtId="2" fontId="11" fillId="0" borderId="19" xfId="0" applyNumberFormat="1" applyFont="1" applyBorder="1" applyAlignment="1">
      <alignment horizontal="right" wrapText="1"/>
    </xf>
    <xf numFmtId="2" fontId="11" fillId="0" borderId="20" xfId="0" applyNumberFormat="1" applyFont="1" applyBorder="1" applyAlignment="1">
      <alignment horizontal="right" wrapText="1"/>
    </xf>
    <xf numFmtId="2" fontId="0" fillId="0" borderId="13" xfId="0" applyNumberFormat="1" applyBorder="1"/>
    <xf numFmtId="166" fontId="13" fillId="0" borderId="15" xfId="2" applyNumberFormat="1" applyFont="1" applyBorder="1" applyAlignment="1" applyProtection="1">
      <alignment horizontal="right" wrapText="1"/>
    </xf>
    <xf numFmtId="0" fontId="0" fillId="0" borderId="0" xfId="0" applyAlignment="1">
      <alignment wrapText="1"/>
    </xf>
    <xf numFmtId="2" fontId="11" fillId="0" borderId="26" xfId="0" applyNumberFormat="1" applyFont="1" applyBorder="1" applyAlignment="1">
      <alignment horizontal="right" wrapText="1"/>
    </xf>
    <xf numFmtId="2" fontId="11" fillId="0" borderId="27" xfId="0" applyNumberFormat="1" applyFont="1" applyBorder="1" applyAlignment="1">
      <alignment horizontal="right" wrapText="1"/>
    </xf>
    <xf numFmtId="0" fontId="11" fillId="0" borderId="40" xfId="0" applyFont="1" applyBorder="1" applyAlignment="1">
      <alignment horizontal="left" vertical="center" readingOrder="1"/>
    </xf>
    <xf numFmtId="16" fontId="8" fillId="0" borderId="0" xfId="0" applyNumberFormat="1" applyFont="1"/>
    <xf numFmtId="14" fontId="8" fillId="0" borderId="0" xfId="0" applyNumberFormat="1" applyFont="1"/>
    <xf numFmtId="2" fontId="0" fillId="0" borderId="42" xfId="0" applyNumberFormat="1" applyBorder="1"/>
    <xf numFmtId="0" fontId="11" fillId="0" borderId="17" xfId="0" applyFont="1" applyBorder="1" applyAlignment="1">
      <alignment horizontal="left" vertical="center" readingOrder="1"/>
    </xf>
    <xf numFmtId="0" fontId="9" fillId="0" borderId="1" xfId="2" applyNumberFormat="1" applyFont="1" applyBorder="1" applyAlignment="1" applyProtection="1">
      <alignment horizontal="center" wrapText="1"/>
    </xf>
    <xf numFmtId="0" fontId="7" fillId="0" borderId="1" xfId="0" applyFont="1" applyBorder="1"/>
    <xf numFmtId="167" fontId="7" fillId="0" borderId="1" xfId="0" applyNumberFormat="1" applyFont="1" applyBorder="1"/>
    <xf numFmtId="167" fontId="7" fillId="0" borderId="25" xfId="0" applyNumberFormat="1" applyFont="1" applyBorder="1"/>
    <xf numFmtId="2" fontId="7" fillId="0" borderId="26" xfId="0" applyNumberFormat="1" applyFont="1" applyBorder="1"/>
    <xf numFmtId="2" fontId="7" fillId="0" borderId="27" xfId="0" applyNumberFormat="1" applyFont="1" applyBorder="1"/>
    <xf numFmtId="2" fontId="11" fillId="5" borderId="26" xfId="2" applyNumberFormat="1" applyFont="1" applyFill="1" applyBorder="1" applyAlignment="1" applyProtection="1">
      <alignment horizontal="right" wrapText="1"/>
    </xf>
    <xf numFmtId="2" fontId="11" fillId="5" borderId="27" xfId="2" applyNumberFormat="1" applyFont="1" applyFill="1" applyBorder="1" applyAlignment="1" applyProtection="1">
      <alignment horizontal="right" wrapText="1"/>
    </xf>
    <xf numFmtId="2" fontId="11" fillId="2" borderId="26" xfId="2" applyNumberFormat="1" applyFont="1" applyFill="1" applyBorder="1" applyAlignment="1" applyProtection="1">
      <alignment horizontal="right" wrapText="1"/>
    </xf>
    <xf numFmtId="2" fontId="9" fillId="0" borderId="26" xfId="2" applyNumberFormat="1" applyFont="1" applyBorder="1" applyAlignment="1" applyProtection="1">
      <alignment horizontal="right" wrapText="1"/>
    </xf>
    <xf numFmtId="2" fontId="9" fillId="0" borderId="27" xfId="2" applyNumberFormat="1" applyFont="1" applyBorder="1" applyAlignment="1" applyProtection="1">
      <alignment horizontal="right" wrapText="1"/>
    </xf>
    <xf numFmtId="2" fontId="7" fillId="0" borderId="26" xfId="2" applyNumberFormat="1" applyFont="1" applyBorder="1" applyAlignment="1" applyProtection="1">
      <alignment horizontal="right" wrapText="1"/>
    </xf>
    <xf numFmtId="2" fontId="7" fillId="0" borderId="27" xfId="2" applyNumberFormat="1" applyFont="1" applyBorder="1" applyAlignment="1" applyProtection="1">
      <alignment horizontal="right" wrapText="1"/>
    </xf>
    <xf numFmtId="0" fontId="7" fillId="0" borderId="5" xfId="0" applyFont="1" applyBorder="1" applyAlignment="1">
      <alignment horizontal="right" vertical="center"/>
    </xf>
    <xf numFmtId="0" fontId="7" fillId="6" borderId="5" xfId="0" applyFont="1" applyFill="1" applyBorder="1" applyAlignment="1">
      <alignment horizontal="right" vertical="center"/>
    </xf>
    <xf numFmtId="166" fontId="13" fillId="6" borderId="7" xfId="2" applyNumberFormat="1" applyFont="1" applyFill="1" applyBorder="1" applyAlignment="1" applyProtection="1">
      <alignment horizontal="right" wrapText="1"/>
    </xf>
    <xf numFmtId="0" fontId="15" fillId="0" borderId="1" xfId="0" applyFont="1" applyBorder="1" applyAlignment="1">
      <alignment vertical="center"/>
    </xf>
    <xf numFmtId="2" fontId="0" fillId="0" borderId="27" xfId="2" applyNumberFormat="1" applyFont="1" applyBorder="1" applyAlignment="1" applyProtection="1">
      <alignment horizontal="right" wrapText="1"/>
    </xf>
    <xf numFmtId="0" fontId="8" fillId="0" borderId="24" xfId="0" applyFont="1" applyBorder="1" applyAlignment="1">
      <alignment horizontal="left" vertical="center"/>
    </xf>
    <xf numFmtId="0" fontId="0" fillId="0" borderId="1" xfId="0" applyBorder="1"/>
    <xf numFmtId="0" fontId="7" fillId="0" borderId="0" xfId="0" applyFont="1" applyAlignment="1">
      <alignment vertical="center"/>
    </xf>
    <xf numFmtId="2" fontId="14" fillId="0" borderId="0" xfId="0" applyNumberFormat="1" applyFont="1"/>
    <xf numFmtId="0" fontId="0" fillId="5" borderId="29" xfId="0" applyFill="1" applyBorder="1"/>
    <xf numFmtId="0" fontId="0" fillId="5" borderId="29" xfId="0" applyFill="1" applyBorder="1" applyAlignment="1">
      <alignment horizontal="center"/>
    </xf>
    <xf numFmtId="2" fontId="0" fillId="5" borderId="40" xfId="0" applyNumberFormat="1" applyFill="1" applyBorder="1"/>
    <xf numFmtId="2" fontId="0" fillId="5" borderId="41" xfId="0" applyNumberFormat="1" applyFill="1" applyBorder="1"/>
    <xf numFmtId="0" fontId="16" fillId="0" borderId="6" xfId="2" applyNumberFormat="1" applyFont="1" applyBorder="1" applyAlignment="1" applyProtection="1">
      <alignment horizontal="center" wrapText="1"/>
    </xf>
    <xf numFmtId="0" fontId="7" fillId="0" borderId="7" xfId="0" applyFont="1" applyBorder="1"/>
    <xf numFmtId="0" fontId="7" fillId="0" borderId="3" xfId="2" applyNumberFormat="1" applyFont="1" applyBorder="1" applyAlignment="1" applyProtection="1">
      <alignment horizontal="right" wrapText="1"/>
    </xf>
    <xf numFmtId="167" fontId="7" fillId="0" borderId="1" xfId="2" applyNumberFormat="1" applyFont="1" applyBorder="1" applyAlignment="1" applyProtection="1">
      <alignment horizontal="right" wrapText="1"/>
    </xf>
    <xf numFmtId="167" fontId="7" fillId="0" borderId="25" xfId="2" applyNumberFormat="1" applyFont="1" applyBorder="1" applyAlignment="1" applyProtection="1">
      <alignment horizontal="right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/>
    <xf numFmtId="2" fontId="20" fillId="0" borderId="0" xfId="0" applyNumberFormat="1" applyFont="1"/>
    <xf numFmtId="0" fontId="20" fillId="0" borderId="0" xfId="0" applyFont="1"/>
    <xf numFmtId="168" fontId="0" fillId="0" borderId="0" xfId="0" applyNumberFormat="1"/>
    <xf numFmtId="0" fontId="19" fillId="7" borderId="5" xfId="2" applyNumberFormat="1" applyFont="1" applyFill="1" applyBorder="1" applyAlignment="1" applyProtection="1">
      <alignment horizontal="center" vertical="center"/>
    </xf>
    <xf numFmtId="0" fontId="19" fillId="7" borderId="6" xfId="2" applyNumberFormat="1" applyFont="1" applyFill="1" applyBorder="1" applyAlignment="1" applyProtection="1">
      <alignment horizontal="center" vertical="center"/>
    </xf>
    <xf numFmtId="0" fontId="19" fillId="7" borderId="7" xfId="2" applyNumberFormat="1" applyFont="1" applyFill="1" applyBorder="1" applyAlignment="1" applyProtection="1">
      <alignment horizontal="center" vertical="center" wrapText="1"/>
    </xf>
    <xf numFmtId="0" fontId="19" fillId="7" borderId="8" xfId="2" applyNumberFormat="1" applyFont="1" applyFill="1" applyBorder="1" applyAlignment="1" applyProtection="1">
      <alignment horizontal="center" vertical="center" wrapText="1"/>
    </xf>
    <xf numFmtId="0" fontId="19" fillId="7" borderId="6" xfId="2" applyNumberFormat="1" applyFont="1" applyFill="1" applyBorder="1" applyAlignment="1" applyProtection="1">
      <alignment horizontal="center" vertical="center" wrapText="1"/>
    </xf>
    <xf numFmtId="0" fontId="19" fillId="7" borderId="9" xfId="2" applyNumberFormat="1" applyFont="1" applyFill="1" applyBorder="1" applyAlignment="1" applyProtection="1">
      <alignment horizontal="center" vertical="center" wrapText="1"/>
    </xf>
    <xf numFmtId="0" fontId="19" fillId="7" borderId="10" xfId="2" applyNumberFormat="1" applyFont="1" applyFill="1" applyBorder="1" applyAlignment="1" applyProtection="1">
      <alignment horizontal="center" vertical="center" wrapText="1"/>
    </xf>
    <xf numFmtId="0" fontId="19" fillId="7" borderId="11" xfId="2" applyNumberFormat="1" applyFont="1" applyFill="1" applyBorder="1" applyAlignment="1" applyProtection="1">
      <alignment horizontal="center" vertical="center" wrapText="1"/>
    </xf>
    <xf numFmtId="165" fontId="19" fillId="7" borderId="11" xfId="0" applyNumberFormat="1" applyFont="1" applyFill="1" applyBorder="1" applyAlignment="1">
      <alignment vertical="center"/>
    </xf>
    <xf numFmtId="14" fontId="19" fillId="7" borderId="12" xfId="0" applyNumberFormat="1" applyFont="1" applyFill="1" applyBorder="1" applyAlignment="1">
      <alignment vertical="center"/>
    </xf>
    <xf numFmtId="0" fontId="7" fillId="7" borderId="44" xfId="0" applyFont="1" applyFill="1" applyBorder="1" applyAlignment="1">
      <alignment horizontal="center" vertical="center"/>
    </xf>
    <xf numFmtId="0" fontId="14" fillId="7" borderId="45" xfId="2" applyNumberFormat="1" applyFont="1" applyFill="1" applyBorder="1" applyAlignment="1" applyProtection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22" xfId="2" applyNumberFormat="1" applyFont="1" applyBorder="1" applyAlignment="1" applyProtection="1">
      <alignment wrapText="1"/>
    </xf>
    <xf numFmtId="2" fontId="21" fillId="0" borderId="46" xfId="0" applyNumberFormat="1" applyFont="1" applyBorder="1" applyAlignment="1">
      <alignment horizontal="right" vertical="center"/>
    </xf>
    <xf numFmtId="2" fontId="21" fillId="8" borderId="46" xfId="0" applyNumberFormat="1" applyFont="1" applyFill="1" applyBorder="1" applyAlignment="1">
      <alignment horizontal="right" vertical="center"/>
    </xf>
    <xf numFmtId="166" fontId="13" fillId="8" borderId="24" xfId="1" applyNumberFormat="1" applyFont="1" applyFill="1" applyBorder="1" applyAlignment="1" applyProtection="1">
      <alignment horizontal="right" vertical="center"/>
    </xf>
    <xf numFmtId="2" fontId="21" fillId="0" borderId="23" xfId="0" applyNumberFormat="1" applyFont="1" applyBorder="1" applyAlignment="1">
      <alignment horizontal="right" vertical="center"/>
    </xf>
    <xf numFmtId="2" fontId="21" fillId="9" borderId="23" xfId="0" applyNumberFormat="1" applyFont="1" applyFill="1" applyBorder="1" applyAlignment="1">
      <alignment horizontal="right" vertical="center"/>
    </xf>
    <xf numFmtId="2" fontId="0" fillId="0" borderId="23" xfId="0" applyNumberFormat="1" applyBorder="1" applyAlignment="1">
      <alignment vertical="center"/>
    </xf>
    <xf numFmtId="166" fontId="13" fillId="8" borderId="25" xfId="1" applyNumberFormat="1" applyFont="1" applyFill="1" applyBorder="1" applyAlignment="1" applyProtection="1">
      <alignment horizontal="right" vertical="center"/>
    </xf>
    <xf numFmtId="0" fontId="0" fillId="0" borderId="13" xfId="0" applyFont="1" applyBorder="1" applyAlignment="1">
      <alignment vertical="center"/>
    </xf>
    <xf numFmtId="0" fontId="21" fillId="10" borderId="17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2" fontId="21" fillId="0" borderId="47" xfId="0" applyNumberFormat="1" applyFont="1" applyBorder="1" applyAlignment="1">
      <alignment horizontal="right" vertical="center"/>
    </xf>
    <xf numFmtId="2" fontId="21" fillId="11" borderId="46" xfId="0" applyNumberFormat="1" applyFont="1" applyFill="1" applyBorder="1" applyAlignment="1">
      <alignment horizontal="right" vertical="center"/>
    </xf>
    <xf numFmtId="166" fontId="13" fillId="11" borderId="24" xfId="1" applyNumberFormat="1" applyFont="1" applyFill="1" applyBorder="1" applyAlignment="1" applyProtection="1">
      <alignment horizontal="right" vertical="center"/>
    </xf>
    <xf numFmtId="166" fontId="13" fillId="11" borderId="24" xfId="2" applyNumberFormat="1" applyFont="1" applyFill="1" applyBorder="1" applyAlignment="1" applyProtection="1">
      <alignment horizontal="right" wrapText="1"/>
    </xf>
    <xf numFmtId="0" fontId="11" fillId="0" borderId="23" xfId="0" applyFont="1" applyBorder="1" applyAlignment="1">
      <alignment horizontal="left" vertical="center" readingOrder="1"/>
    </xf>
    <xf numFmtId="0" fontId="21" fillId="0" borderId="23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24" xfId="2" applyNumberFormat="1" applyFont="1" applyBorder="1" applyAlignment="1" applyProtection="1">
      <alignment vertical="center" wrapText="1"/>
    </xf>
    <xf numFmtId="0" fontId="21" fillId="0" borderId="3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1" fillId="0" borderId="25" xfId="0" applyFont="1" applyBorder="1" applyAlignment="1">
      <alignment horizontal="right" vertical="center"/>
    </xf>
    <xf numFmtId="2" fontId="21" fillId="0" borderId="26" xfId="0" applyNumberFormat="1" applyFont="1" applyBorder="1" applyAlignment="1">
      <alignment horizontal="right" vertical="center"/>
    </xf>
    <xf numFmtId="2" fontId="21" fillId="0" borderId="27" xfId="0" applyNumberFormat="1" applyFont="1" applyBorder="1" applyAlignment="1">
      <alignment horizontal="right" vertical="center"/>
    </xf>
    <xf numFmtId="166" fontId="13" fillId="0" borderId="24" xfId="1" applyNumberFormat="1" applyFont="1" applyBorder="1" applyAlignment="1" applyProtection="1">
      <alignment horizontal="right" vertical="center"/>
    </xf>
    <xf numFmtId="2" fontId="21" fillId="12" borderId="23" xfId="0" applyNumberFormat="1" applyFont="1" applyFill="1" applyBorder="1" applyAlignment="1">
      <alignment horizontal="right" vertical="center"/>
    </xf>
    <xf numFmtId="2" fontId="21" fillId="12" borderId="25" xfId="0" applyNumberFormat="1" applyFont="1" applyFill="1" applyBorder="1" applyAlignment="1">
      <alignment horizontal="right" vertical="center"/>
    </xf>
    <xf numFmtId="0" fontId="0" fillId="0" borderId="23" xfId="0" applyFont="1" applyBorder="1" applyAlignment="1">
      <alignment vertical="center"/>
    </xf>
    <xf numFmtId="0" fontId="8" fillId="0" borderId="24" xfId="0" applyFont="1" applyBorder="1" applyAlignment="1">
      <alignment horizontal="left" vertical="center" wrapText="1"/>
    </xf>
    <xf numFmtId="0" fontId="21" fillId="0" borderId="24" xfId="2" applyNumberFormat="1" applyFont="1" applyBorder="1" applyAlignment="1" applyProtection="1">
      <alignment wrapText="1"/>
    </xf>
    <xf numFmtId="2" fontId="21" fillId="4" borderId="27" xfId="0" applyNumberFormat="1" applyFont="1" applyFill="1" applyBorder="1" applyAlignment="1">
      <alignment horizontal="right" vertical="center"/>
    </xf>
    <xf numFmtId="2" fontId="21" fillId="13" borderId="46" xfId="0" applyNumberFormat="1" applyFont="1" applyFill="1" applyBorder="1" applyAlignment="1">
      <alignment horizontal="right" vertical="center"/>
    </xf>
    <xf numFmtId="166" fontId="13" fillId="13" borderId="24" xfId="1" applyNumberFormat="1" applyFont="1" applyFill="1" applyBorder="1" applyAlignment="1" applyProtection="1">
      <alignment horizontal="right" vertical="center"/>
    </xf>
    <xf numFmtId="2" fontId="21" fillId="13" borderId="23" xfId="0" applyNumberFormat="1" applyFont="1" applyFill="1" applyBorder="1" applyAlignment="1">
      <alignment horizontal="right" vertical="center"/>
    </xf>
    <xf numFmtId="166" fontId="13" fillId="9" borderId="24" xfId="1" applyNumberFormat="1" applyFont="1" applyFill="1" applyBorder="1" applyAlignment="1" applyProtection="1">
      <alignment horizontal="right" vertical="center"/>
    </xf>
    <xf numFmtId="2" fontId="21" fillId="14" borderId="23" xfId="0" applyNumberFormat="1" applyFont="1" applyFill="1" applyBorder="1" applyAlignment="1">
      <alignment horizontal="right" vertical="center"/>
    </xf>
    <xf numFmtId="166" fontId="13" fillId="14" borderId="24" xfId="1" applyNumberFormat="1" applyFont="1" applyFill="1" applyBorder="1" applyAlignment="1" applyProtection="1">
      <alignment horizontal="right" vertical="center"/>
    </xf>
    <xf numFmtId="2" fontId="0" fillId="14" borderId="23" xfId="0" applyNumberFormat="1" applyFill="1" applyBorder="1"/>
    <xf numFmtId="2" fontId="21" fillId="14" borderId="25" xfId="0" applyNumberFormat="1" applyFont="1" applyFill="1" applyBorder="1" applyAlignment="1">
      <alignment horizontal="right" vertical="center"/>
    </xf>
    <xf numFmtId="0" fontId="0" fillId="9" borderId="23" xfId="0" applyFont="1" applyFill="1" applyBorder="1" applyAlignment="1">
      <alignment vertical="center"/>
    </xf>
    <xf numFmtId="0" fontId="8" fillId="9" borderId="24" xfId="0" applyFont="1" applyFill="1" applyBorder="1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166" fontId="13" fillId="0" borderId="25" xfId="1" applyNumberFormat="1" applyFont="1" applyBorder="1" applyAlignment="1" applyProtection="1">
      <alignment horizontal="right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2" applyNumberFormat="1" applyFont="1" applyBorder="1" applyAlignment="1" applyProtection="1">
      <alignment wrapText="1"/>
    </xf>
    <xf numFmtId="0" fontId="21" fillId="0" borderId="31" xfId="0" applyFont="1" applyBorder="1" applyAlignment="1">
      <alignment horizontal="right" vertical="center"/>
    </xf>
    <xf numFmtId="0" fontId="21" fillId="0" borderId="29" xfId="0" applyFont="1" applyBorder="1" applyAlignment="1">
      <alignment horizontal="right" vertical="center"/>
    </xf>
    <xf numFmtId="0" fontId="21" fillId="0" borderId="32" xfId="0" applyFont="1" applyBorder="1" applyAlignment="1">
      <alignment horizontal="right" vertical="center"/>
    </xf>
    <xf numFmtId="2" fontId="21" fillId="0" borderId="33" xfId="0" applyNumberFormat="1" applyFont="1" applyBorder="1" applyAlignment="1">
      <alignment horizontal="right" vertical="center"/>
    </xf>
    <xf numFmtId="2" fontId="21" fillId="0" borderId="34" xfId="0" applyNumberFormat="1" applyFont="1" applyBorder="1" applyAlignment="1">
      <alignment horizontal="right" vertical="center"/>
    </xf>
    <xf numFmtId="2" fontId="21" fillId="13" borderId="35" xfId="0" applyNumberFormat="1" applyFont="1" applyFill="1" applyBorder="1" applyAlignment="1">
      <alignment horizontal="right" vertical="center"/>
    </xf>
    <xf numFmtId="2" fontId="21" fillId="0" borderId="35" xfId="0" applyNumberFormat="1" applyFont="1" applyBorder="1" applyAlignment="1">
      <alignment horizontal="right" vertical="center"/>
    </xf>
    <xf numFmtId="2" fontId="21" fillId="12" borderId="35" xfId="0" applyNumberFormat="1" applyFont="1" applyFill="1" applyBorder="1" applyAlignment="1">
      <alignment horizontal="right" vertical="center"/>
    </xf>
    <xf numFmtId="2" fontId="21" fillId="12" borderId="48" xfId="0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horizontal="left" vertical="center" readingOrder="1"/>
    </xf>
    <xf numFmtId="0" fontId="8" fillId="0" borderId="37" xfId="0" applyFont="1" applyBorder="1" applyAlignment="1">
      <alignment horizontal="left" vertical="center" wrapText="1"/>
    </xf>
    <xf numFmtId="0" fontId="21" fillId="5" borderId="42" xfId="0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21" fillId="5" borderId="41" xfId="2" applyNumberFormat="1" applyFont="1" applyFill="1" applyBorder="1" applyAlignment="1" applyProtection="1">
      <alignment wrapText="1"/>
    </xf>
    <xf numFmtId="0" fontId="21" fillId="5" borderId="49" xfId="0" applyFont="1" applyFill="1" applyBorder="1" applyAlignment="1">
      <alignment horizontal="right" vertical="center"/>
    </xf>
    <xf numFmtId="0" fontId="21" fillId="5" borderId="40" xfId="0" applyFont="1" applyFill="1" applyBorder="1" applyAlignment="1">
      <alignment horizontal="right" vertical="center"/>
    </xf>
    <xf numFmtId="0" fontId="21" fillId="5" borderId="41" xfId="0" applyFont="1" applyFill="1" applyBorder="1" applyAlignment="1">
      <alignment horizontal="right" vertical="center"/>
    </xf>
    <xf numFmtId="2" fontId="21" fillId="5" borderId="0" xfId="0" applyNumberFormat="1" applyFont="1" applyFill="1" applyAlignment="1">
      <alignment horizontal="right" vertical="center"/>
    </xf>
    <xf numFmtId="2" fontId="21" fillId="5" borderId="42" xfId="0" applyNumberFormat="1" applyFont="1" applyFill="1" applyBorder="1" applyAlignment="1">
      <alignment horizontal="right" vertical="center"/>
    </xf>
    <xf numFmtId="166" fontId="13" fillId="5" borderId="43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/>
    <xf numFmtId="169" fontId="19" fillId="0" borderId="6" xfId="0" applyNumberFormat="1" applyFont="1" applyBorder="1" applyAlignment="1">
      <alignment horizontal="right" vertical="center"/>
    </xf>
    <xf numFmtId="2" fontId="19" fillId="0" borderId="9" xfId="0" applyNumberFormat="1" applyFont="1" applyBorder="1" applyAlignment="1">
      <alignment horizontal="right" vertical="center"/>
    </xf>
    <xf numFmtId="2" fontId="21" fillId="12" borderId="5" xfId="0" applyNumberFormat="1" applyFont="1" applyFill="1" applyBorder="1" applyAlignment="1">
      <alignment horizontal="right" vertical="center"/>
    </xf>
    <xf numFmtId="2" fontId="21" fillId="12" borderId="7" xfId="0" applyNumberFormat="1" applyFont="1" applyFill="1" applyBorder="1" applyAlignment="1">
      <alignment horizontal="right" vertical="center"/>
    </xf>
    <xf numFmtId="166" fontId="13" fillId="0" borderId="7" xfId="1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3" fillId="0" borderId="0" xfId="1" applyNumberFormat="1" applyFont="1" applyBorder="1" applyAlignment="1" applyProtection="1">
      <alignment horizontal="right" vertical="center"/>
    </xf>
    <xf numFmtId="2" fontId="21" fillId="0" borderId="0" xfId="0" applyNumberFormat="1" applyFont="1" applyAlignment="1">
      <alignment horizontal="right" vertical="center"/>
    </xf>
    <xf numFmtId="166" fontId="0" fillId="0" borderId="0" xfId="0" applyNumberFormat="1"/>
    <xf numFmtId="0" fontId="7" fillId="0" borderId="0" xfId="0" applyFont="1" applyAlignment="1">
      <alignment horizontal="center"/>
    </xf>
    <xf numFmtId="0" fontId="0" fillId="15" borderId="0" xfId="0" applyFill="1"/>
    <xf numFmtId="167" fontId="0" fillId="0" borderId="0" xfId="0" applyNumberFormat="1"/>
    <xf numFmtId="0" fontId="0" fillId="19" borderId="1" xfId="0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19" borderId="50" xfId="0" applyFont="1" applyFill="1" applyBorder="1" applyAlignment="1">
      <alignment horizontal="center" vertical="center" wrapText="1"/>
    </xf>
    <xf numFmtId="0" fontId="7" fillId="17" borderId="50" xfId="0" applyFont="1" applyFill="1" applyBorder="1" applyAlignment="1">
      <alignment horizontal="center" vertical="center" wrapText="1"/>
    </xf>
    <xf numFmtId="0" fontId="0" fillId="4" borderId="50" xfId="0" applyFont="1" applyFill="1" applyBorder="1" applyAlignment="1">
      <alignment horizontal="center" vertical="center" wrapText="1"/>
    </xf>
    <xf numFmtId="0" fontId="0" fillId="18" borderId="5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7" fillId="0" borderId="50" xfId="0" applyNumberFormat="1" applyFont="1" applyBorder="1" applyAlignment="1">
      <alignment horizontal="center" vertical="center" wrapText="1"/>
    </xf>
    <xf numFmtId="4" fontId="7" fillId="0" borderId="50" xfId="0" applyNumberFormat="1" applyFont="1" applyBorder="1" applyAlignment="1">
      <alignment horizontal="center" vertical="center" wrapText="1"/>
    </xf>
    <xf numFmtId="166" fontId="0" fillId="0" borderId="50" xfId="0" applyNumberFormat="1" applyBorder="1" applyAlignment="1">
      <alignment horizontal="center" vertical="center" wrapText="1"/>
    </xf>
    <xf numFmtId="2" fontId="0" fillId="0" borderId="50" xfId="0" applyNumberFormat="1" applyBorder="1" applyAlignment="1">
      <alignment horizontal="center" vertical="center" wrapText="1"/>
    </xf>
    <xf numFmtId="170" fontId="0" fillId="0" borderId="50" xfId="0" applyNumberFormat="1" applyBorder="1"/>
    <xf numFmtId="4" fontId="0" fillId="0" borderId="50" xfId="0" applyNumberFormat="1" applyBorder="1"/>
    <xf numFmtId="0" fontId="0" fillId="16" borderId="1" xfId="0" applyFont="1" applyFill="1" applyBorder="1" applyAlignment="1">
      <alignment horizontal="center" vertical="center" wrapText="1"/>
    </xf>
    <xf numFmtId="166" fontId="7" fillId="16" borderId="1" xfId="0" applyNumberFormat="1" applyFont="1" applyFill="1" applyBorder="1" applyAlignment="1">
      <alignment horizontal="center" vertical="center" wrapText="1"/>
    </xf>
    <xf numFmtId="166" fontId="0" fillId="16" borderId="1" xfId="0" applyNumberFormat="1" applyFill="1" applyBorder="1" applyAlignment="1">
      <alignment horizontal="center" vertical="center" wrapText="1"/>
    </xf>
    <xf numFmtId="166" fontId="7" fillId="16" borderId="50" xfId="0" applyNumberFormat="1" applyFont="1" applyFill="1" applyBorder="1" applyAlignment="1">
      <alignment horizontal="center" vertical="center" wrapText="1"/>
    </xf>
    <xf numFmtId="4" fontId="7" fillId="16" borderId="50" xfId="0" applyNumberFormat="1" applyFont="1" applyFill="1" applyBorder="1" applyAlignment="1">
      <alignment horizontal="center" vertical="center" wrapText="1"/>
    </xf>
    <xf numFmtId="166" fontId="0" fillId="20" borderId="50" xfId="0" applyNumberFormat="1" applyFill="1" applyBorder="1" applyAlignment="1">
      <alignment horizontal="center" vertical="center" wrapText="1"/>
    </xf>
    <xf numFmtId="2" fontId="0" fillId="20" borderId="50" xfId="0" applyNumberFormat="1" applyFill="1" applyBorder="1" applyAlignment="1">
      <alignment horizontal="center" vertical="center" wrapText="1"/>
    </xf>
    <xf numFmtId="166" fontId="0" fillId="21" borderId="50" xfId="0" applyNumberFormat="1" applyFill="1" applyBorder="1" applyAlignment="1">
      <alignment horizontal="center" vertical="center" wrapText="1"/>
    </xf>
    <xf numFmtId="4" fontId="7" fillId="21" borderId="50" xfId="0" applyNumberFormat="1" applyFont="1" applyFill="1" applyBorder="1" applyAlignment="1">
      <alignment horizontal="center" vertical="center" wrapText="1"/>
    </xf>
    <xf numFmtId="170" fontId="0" fillId="22" borderId="50" xfId="0" applyNumberFormat="1" applyFill="1" applyBorder="1"/>
    <xf numFmtId="4" fontId="0" fillId="22" borderId="50" xfId="0" applyNumberFormat="1" applyFill="1" applyBorder="1"/>
    <xf numFmtId="0" fontId="0" fillId="0" borderId="50" xfId="0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/>
    </xf>
    <xf numFmtId="166" fontId="7" fillId="19" borderId="1" xfId="0" applyNumberFormat="1" applyFont="1" applyFill="1" applyBorder="1" applyAlignment="1">
      <alignment horizontal="center"/>
    </xf>
    <xf numFmtId="166" fontId="0" fillId="19" borderId="1" xfId="0" applyNumberFormat="1" applyFill="1" applyBorder="1" applyAlignment="1">
      <alignment horizontal="center"/>
    </xf>
    <xf numFmtId="166" fontId="7" fillId="19" borderId="50" xfId="0" applyNumberFormat="1" applyFont="1" applyFill="1" applyBorder="1" applyAlignment="1">
      <alignment horizontal="center"/>
    </xf>
    <xf numFmtId="4" fontId="7" fillId="19" borderId="50" xfId="0" applyNumberFormat="1" applyFont="1" applyFill="1" applyBorder="1" applyAlignment="1">
      <alignment horizontal="center"/>
    </xf>
    <xf numFmtId="166" fontId="0" fillId="17" borderId="50" xfId="0" applyNumberFormat="1" applyFill="1" applyBorder="1" applyAlignment="1">
      <alignment horizontal="center"/>
    </xf>
    <xf numFmtId="2" fontId="0" fillId="17" borderId="50" xfId="0" applyNumberFormat="1" applyFill="1" applyBorder="1" applyAlignment="1">
      <alignment horizontal="center"/>
    </xf>
    <xf numFmtId="166" fontId="0" fillId="4" borderId="50" xfId="0" applyNumberFormat="1" applyFill="1" applyBorder="1" applyAlignment="1">
      <alignment horizontal="center" vertical="center" wrapText="1"/>
    </xf>
    <xf numFmtId="4" fontId="7" fillId="4" borderId="50" xfId="0" applyNumberFormat="1" applyFont="1" applyFill="1" applyBorder="1" applyAlignment="1">
      <alignment horizontal="center" vertical="center" wrapText="1"/>
    </xf>
    <xf numFmtId="170" fontId="0" fillId="18" borderId="50" xfId="0" applyNumberFormat="1" applyFill="1" applyBorder="1"/>
    <xf numFmtId="4" fontId="0" fillId="18" borderId="50" xfId="0" applyNumberFormat="1" applyFill="1" applyBorder="1"/>
    <xf numFmtId="2" fontId="7" fillId="19" borderId="1" xfId="0" applyNumberFormat="1" applyFont="1" applyFill="1" applyBorder="1" applyAlignment="1">
      <alignment horizontal="center"/>
    </xf>
    <xf numFmtId="2" fontId="0" fillId="19" borderId="1" xfId="0" applyNumberFormat="1" applyFill="1" applyBorder="1" applyAlignment="1">
      <alignment horizontal="center"/>
    </xf>
    <xf numFmtId="167" fontId="7" fillId="0" borderId="0" xfId="0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23" borderId="1" xfId="0" applyFont="1" applyFill="1" applyBorder="1" applyAlignment="1">
      <alignment horizontal="center" vertical="center" wrapText="1"/>
    </xf>
    <xf numFmtId="0" fontId="7" fillId="2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166" fontId="7" fillId="1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170" fontId="7" fillId="19" borderId="1" xfId="0" applyNumberFormat="1" applyFont="1" applyFill="1" applyBorder="1" applyAlignment="1">
      <alignment horizontal="center"/>
    </xf>
    <xf numFmtId="170" fontId="0" fillId="19" borderId="1" xfId="0" applyNumberFormat="1" applyFill="1" applyBorder="1" applyAlignment="1">
      <alignment horizontal="center"/>
    </xf>
    <xf numFmtId="0" fontId="0" fillId="12" borderId="1" xfId="0" applyFont="1" applyFill="1" applyBorder="1"/>
    <xf numFmtId="166" fontId="7" fillId="12" borderId="1" xfId="0" applyNumberFormat="1" applyFont="1" applyFill="1" applyBorder="1" applyAlignment="1">
      <alignment horizontal="center"/>
    </xf>
    <xf numFmtId="170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170" fontId="0" fillId="0" borderId="0" xfId="0" applyNumberFormat="1"/>
    <xf numFmtId="4" fontId="0" fillId="0" borderId="0" xfId="0" applyNumberFormat="1"/>
    <xf numFmtId="167" fontId="7" fillId="0" borderId="0" xfId="0" applyNumberFormat="1" applyFont="1" applyAlignment="1">
      <alignment horizontal="right"/>
    </xf>
    <xf numFmtId="167" fontId="7" fillId="0" borderId="0" xfId="0" applyNumberFormat="1" applyFont="1"/>
    <xf numFmtId="167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3" fillId="19" borderId="1" xfId="0" applyFon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/>
    </xf>
    <xf numFmtId="0" fontId="9" fillId="3" borderId="53" xfId="0" applyFont="1" applyFill="1" applyBorder="1" applyAlignment="1">
      <alignment horizontal="center" vertical="center" wrapText="1"/>
    </xf>
    <xf numFmtId="0" fontId="11" fillId="0" borderId="54" xfId="0" applyFont="1" applyBorder="1" applyAlignment="1">
      <alignment horizontal="left" wrapText="1"/>
    </xf>
    <xf numFmtId="0" fontId="11" fillId="0" borderId="54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center" wrapText="1"/>
    </xf>
    <xf numFmtId="0" fontId="11" fillId="9" borderId="10" xfId="0" applyFont="1" applyFill="1" applyBorder="1" applyAlignment="1">
      <alignment horizontal="left" wrapText="1"/>
    </xf>
    <xf numFmtId="0" fontId="11" fillId="0" borderId="44" xfId="0" applyFont="1" applyBorder="1" applyAlignment="1">
      <alignment horizontal="left" wrapText="1"/>
    </xf>
    <xf numFmtId="0" fontId="11" fillId="0" borderId="44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56" xfId="0" applyFont="1" applyBorder="1" applyAlignment="1">
      <alignment horizontal="center" wrapText="1"/>
    </xf>
    <xf numFmtId="0" fontId="11" fillId="5" borderId="4" xfId="0" applyFont="1" applyFill="1" applyBorder="1" applyAlignment="1">
      <alignment horizontal="left" wrapText="1"/>
    </xf>
    <xf numFmtId="0" fontId="11" fillId="5" borderId="4" xfId="0" applyFont="1" applyFill="1" applyBorder="1" applyAlignment="1">
      <alignment horizontal="center" wrapText="1"/>
    </xf>
    <xf numFmtId="0" fontId="11" fillId="0" borderId="53" xfId="0" applyFont="1" applyBorder="1" applyAlignment="1">
      <alignment horizontal="left" wrapText="1"/>
    </xf>
    <xf numFmtId="0" fontId="11" fillId="0" borderId="53" xfId="0" applyFont="1" applyBorder="1" applyAlignment="1">
      <alignment horizontal="center" wrapText="1"/>
    </xf>
    <xf numFmtId="0" fontId="11" fillId="5" borderId="57" xfId="0" applyFont="1" applyFill="1" applyBorder="1" applyAlignment="1">
      <alignment horizontal="left" wrapText="1"/>
    </xf>
    <xf numFmtId="0" fontId="11" fillId="5" borderId="57" xfId="0" applyFont="1" applyFill="1" applyBorder="1" applyAlignment="1">
      <alignment horizontal="center" wrapText="1"/>
    </xf>
    <xf numFmtId="0" fontId="11" fillId="5" borderId="10" xfId="0" applyFont="1" applyFill="1" applyBorder="1" applyAlignment="1">
      <alignment horizontal="left" wrapText="1"/>
    </xf>
    <xf numFmtId="0" fontId="11" fillId="5" borderId="10" xfId="0" applyFont="1" applyFill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0" fillId="5" borderId="44" xfId="0" applyFill="1" applyBorder="1" applyAlignment="1">
      <alignment horizontal="left" wrapText="1"/>
    </xf>
    <xf numFmtId="0" fontId="0" fillId="5" borderId="44" xfId="0" applyFill="1" applyBorder="1" applyAlignment="1">
      <alignment horizontal="center" wrapText="1"/>
    </xf>
    <xf numFmtId="0" fontId="16" fillId="0" borderId="10" xfId="0" applyFont="1" applyBorder="1" applyAlignment="1">
      <alignment horizontal="left" wrapText="1"/>
    </xf>
    <xf numFmtId="0" fontId="16" fillId="0" borderId="10" xfId="0" applyFont="1" applyBorder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9" fillId="7" borderId="53" xfId="0" applyFont="1" applyFill="1" applyBorder="1" applyAlignment="1">
      <alignment horizontal="center" vertical="center" wrapText="1"/>
    </xf>
    <xf numFmtId="0" fontId="21" fillId="9" borderId="57" xfId="0" applyFont="1" applyFill="1" applyBorder="1" applyAlignment="1">
      <alignment horizontal="left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9" fillId="0" borderId="1" xfId="2" applyNumberFormat="1" applyFont="1" applyBorder="1" applyAlignment="1" applyProtection="1">
      <alignment horizontal="center" wrapText="1"/>
    </xf>
    <xf numFmtId="14" fontId="7" fillId="3" borderId="1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9" borderId="23" xfId="0" applyFill="1" applyBorder="1" applyAlignment="1">
      <alignment vertical="center"/>
    </xf>
    <xf numFmtId="49" fontId="0" fillId="0" borderId="50" xfId="0" applyNumberFormat="1" applyBorder="1" applyAlignment="1">
      <alignment horizontal="center" vertical="center" wrapText="1"/>
    </xf>
    <xf numFmtId="2" fontId="11" fillId="0" borderId="27" xfId="2" applyNumberFormat="1" applyFont="1" applyFill="1" applyBorder="1" applyAlignment="1" applyProtection="1">
      <alignment horizontal="right" wrapText="1"/>
    </xf>
    <xf numFmtId="2" fontId="11" fillId="26" borderId="27" xfId="2" applyNumberFormat="1" applyFont="1" applyFill="1" applyBorder="1" applyAlignment="1" applyProtection="1">
      <alignment horizontal="right" wrapText="1"/>
    </xf>
    <xf numFmtId="2" fontId="9" fillId="26" borderId="20" xfId="2" applyNumberFormat="1" applyFont="1" applyFill="1" applyBorder="1" applyAlignment="1" applyProtection="1">
      <alignment horizontal="right" wrapText="1"/>
    </xf>
    <xf numFmtId="0" fontId="25" fillId="0" borderId="1" xfId="2" applyNumberFormat="1" applyFont="1" applyBorder="1" applyAlignment="1" applyProtection="1">
      <alignment wrapText="1"/>
    </xf>
    <xf numFmtId="2" fontId="21" fillId="27" borderId="46" xfId="0" applyNumberFormat="1" applyFont="1" applyFill="1" applyBorder="1" applyAlignment="1">
      <alignment horizontal="right" vertical="center"/>
    </xf>
    <xf numFmtId="166" fontId="13" fillId="27" borderId="24" xfId="1" applyNumberFormat="1" applyFont="1" applyFill="1" applyBorder="1" applyAlignment="1" applyProtection="1">
      <alignment horizontal="right" vertical="center"/>
    </xf>
    <xf numFmtId="2" fontId="21" fillId="27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Border="1"/>
    <xf numFmtId="2" fontId="27" fillId="0" borderId="23" xfId="0" applyNumberFormat="1" applyFont="1" applyBorder="1"/>
    <xf numFmtId="2" fontId="21" fillId="0" borderId="35" xfId="0" applyNumberFormat="1" applyFont="1" applyFill="1" applyBorder="1" applyAlignment="1">
      <alignment horizontal="right" vertical="center"/>
    </xf>
    <xf numFmtId="166" fontId="30" fillId="19" borderId="50" xfId="0" applyNumberFormat="1" applyFont="1" applyFill="1" applyBorder="1" applyAlignment="1">
      <alignment horizontal="center"/>
    </xf>
    <xf numFmtId="4" fontId="30" fillId="19" borderId="50" xfId="0" applyNumberFormat="1" applyFont="1" applyFill="1" applyBorder="1" applyAlignment="1">
      <alignment horizontal="center"/>
    </xf>
    <xf numFmtId="166" fontId="0" fillId="0" borderId="50" xfId="0" applyNumberFormat="1" applyFill="1" applyBorder="1" applyAlignment="1">
      <alignment horizontal="center" vertical="center" wrapText="1"/>
    </xf>
    <xf numFmtId="4" fontId="7" fillId="0" borderId="50" xfId="0" applyNumberFormat="1" applyFont="1" applyFill="1" applyBorder="1" applyAlignment="1">
      <alignment horizontal="center" vertical="center" wrapText="1"/>
    </xf>
    <xf numFmtId="170" fontId="0" fillId="0" borderId="50" xfId="0" applyNumberFormat="1" applyFill="1" applyBorder="1"/>
    <xf numFmtId="4" fontId="0" fillId="0" borderId="50" xfId="0" applyNumberFormat="1" applyFill="1" applyBorder="1"/>
    <xf numFmtId="2" fontId="7" fillId="0" borderId="5" xfId="0" applyNumberFormat="1" applyFont="1" applyFill="1" applyBorder="1"/>
    <xf numFmtId="166" fontId="13" fillId="0" borderId="22" xfId="2" applyNumberFormat="1" applyFont="1" applyFill="1" applyBorder="1" applyAlignment="1" applyProtection="1">
      <alignment horizontal="right" wrapText="1"/>
    </xf>
    <xf numFmtId="2" fontId="0" fillId="0" borderId="23" xfId="0" applyNumberFormat="1" applyFill="1" applyBorder="1"/>
    <xf numFmtId="2" fontId="0" fillId="25" borderId="23" xfId="0" applyNumberFormat="1" applyFill="1" applyBorder="1"/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2" fontId="21" fillId="27" borderId="59" xfId="0" applyNumberFormat="1" applyFont="1" applyFill="1" applyBorder="1" applyAlignment="1">
      <alignment horizontal="left" vertical="center" wrapText="1"/>
    </xf>
    <xf numFmtId="2" fontId="21" fillId="27" borderId="0" xfId="0" applyNumberFormat="1" applyFont="1" applyFill="1" applyBorder="1" applyAlignment="1">
      <alignment horizontal="left" vertical="center" wrapText="1"/>
    </xf>
    <xf numFmtId="2" fontId="21" fillId="27" borderId="46" xfId="0" applyNumberFormat="1" applyFont="1" applyFill="1" applyBorder="1" applyAlignment="1">
      <alignment horizontal="left" vertical="center" wrapText="1"/>
    </xf>
    <xf numFmtId="2" fontId="21" fillId="27" borderId="60" xfId="0" applyNumberFormat="1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/>
    </xf>
    <xf numFmtId="0" fontId="0" fillId="10" borderId="0" xfId="0" applyFont="1" applyFill="1" applyBorder="1" applyAlignment="1">
      <alignment horizontal="left" vertical="top" wrapText="1"/>
    </xf>
    <xf numFmtId="0" fontId="9" fillId="0" borderId="35" xfId="2" applyNumberFormat="1" applyFont="1" applyBorder="1" applyAlignment="1" applyProtection="1">
      <alignment horizontal="center" wrapText="1"/>
    </xf>
    <xf numFmtId="0" fontId="9" fillId="0" borderId="1" xfId="2" applyNumberFormat="1" applyFont="1" applyBorder="1" applyAlignment="1" applyProtection="1">
      <alignment horizontal="center" wrapText="1"/>
    </xf>
    <xf numFmtId="0" fontId="16" fillId="0" borderId="5" xfId="2" applyNumberFormat="1" applyFont="1" applyBorder="1" applyAlignment="1" applyProtection="1">
      <alignment wrapText="1"/>
    </xf>
    <xf numFmtId="49" fontId="7" fillId="17" borderId="50" xfId="0" applyNumberFormat="1" applyFont="1" applyFill="1" applyBorder="1" applyAlignment="1">
      <alignment horizontal="center" vertical="center"/>
    </xf>
    <xf numFmtId="49" fontId="7" fillId="4" borderId="50" xfId="0" applyNumberFormat="1" applyFont="1" applyFill="1" applyBorder="1" applyAlignment="1">
      <alignment horizontal="center" vertical="center"/>
    </xf>
    <xf numFmtId="49" fontId="7" fillId="18" borderId="50" xfId="0" applyNumberFormat="1" applyFont="1" applyFill="1" applyBorder="1" applyAlignment="1">
      <alignment horizontal="center" vertical="center"/>
    </xf>
    <xf numFmtId="49" fontId="7" fillId="16" borderId="5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49" fontId="7" fillId="0" borderId="51" xfId="0" applyNumberFormat="1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18" borderId="50" xfId="0" applyNumberFormat="1" applyFont="1" applyFill="1" applyBorder="1" applyAlignment="1">
      <alignment horizontal="left" vertical="center"/>
    </xf>
    <xf numFmtId="0" fontId="0" fillId="10" borderId="0" xfId="0" applyFill="1" applyAlignment="1">
      <alignment horizontal="left" vertical="top" wrapText="1"/>
    </xf>
  </cellXfs>
  <cellStyles count="3">
    <cellStyle name="Excel Built-in Explanatory Text" xfId="2" xr:uid="{00000000-0005-0000-0000-000006000000}"/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C5E0B4"/>
      <rgbColor rgb="FF800000"/>
      <rgbColor rgb="FFFFFFA6"/>
      <rgbColor rgb="FF000080"/>
      <rgbColor rgb="FFA5A5A5"/>
      <rgbColor rgb="FF800080"/>
      <rgbColor rgb="FFBABABA"/>
      <rgbColor rgb="FFC0C0C0"/>
      <rgbColor rgb="FF808080"/>
      <rgbColor rgb="FF8FAADC"/>
      <rgbColor rgb="FF993366"/>
      <rgbColor rgb="FFFFFBCC"/>
      <rgbColor rgb="FFCCFFFF"/>
      <rgbColor rgb="FF660066"/>
      <rgbColor rgb="FFFF7B59"/>
      <rgbColor rgb="FF0066CC"/>
      <rgbColor rgb="FFBDD7EE"/>
      <rgbColor rgb="FF000080"/>
      <rgbColor rgb="FFFF00FF"/>
      <rgbColor rgb="FFFFFF38"/>
      <rgbColor rgb="FFD9D9D9"/>
      <rgbColor rgb="FF800080"/>
      <rgbColor rgb="FF800000"/>
      <rgbColor rgb="FFE8F2A1"/>
      <rgbColor rgb="FF0000FF"/>
      <rgbColor rgb="FFB4C7DC"/>
      <rgbColor rgb="FFDEE6EF"/>
      <rgbColor rgb="FFCCFFCC"/>
      <rgbColor rgb="FFFFFF99"/>
      <rgbColor rgb="FF9DC3E6"/>
      <rgbColor rgb="FFBFBFBF"/>
      <rgbColor rgb="FFB2B2B2"/>
      <rgbColor rgb="FFFFD7D7"/>
      <rgbColor rgb="FF4472C4"/>
      <rgbColor rgb="FFA9D18E"/>
      <rgbColor rgb="FF81D41A"/>
      <rgbColor rgb="FFFFCC00"/>
      <rgbColor rgb="FFFF8000"/>
      <rgbColor rgb="FFED7D31"/>
      <rgbColor rgb="FF595959"/>
      <rgbColor rgb="FF969696"/>
      <rgbColor rgb="FF003366"/>
      <rgbColor rgb="FFA6A6A6"/>
      <rgbColor rgb="FF003300"/>
      <rgbColor rgb="FF333300"/>
      <rgbColor rgb="FFFFC000"/>
      <rgbColor rgb="FFFF6D6D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57</xdr:row>
      <xdr:rowOff>15870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47" name="CustomShape 2" hidden="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48" name="CustomShape 18" hidden="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49" name="CustomShape 19" hidden="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50" name="CustomShape 20" hidden="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51" name="CustomShape 21" hidden="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52" name="CustomShape 22" hidden="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53" name="CustomShape 23" hidden="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54" name="CustomShape 24" hidden="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55" name="CustomShape 25" hidden="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56" name="CustomShape 26" hidden="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57" name="CustomShape 27" hidden="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58" name="CustomShape 28" hidden="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59" name="CustomShape 29" hidden="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60" name="CustomShape 30" hidden="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61" name="CustomShape 31" hidden="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767175</xdr:colOff>
      <xdr:row>59</xdr:row>
      <xdr:rowOff>39465</xdr:rowOff>
    </xdr:to>
    <xdr:sp macro="" textlink="">
      <xdr:nvSpPr>
        <xdr:cNvPr id="62" name="CustomShape 32" hidden="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1"/>
  <sheetViews>
    <sheetView zoomScaleNormal="100" workbookViewId="0">
      <selection activeCell="A5" sqref="A5:H5"/>
    </sheetView>
  </sheetViews>
  <sheetFormatPr baseColWidth="10" defaultColWidth="11.26953125" defaultRowHeight="12.5"/>
  <cols>
    <col min="1" max="1" width="11.26953125" style="1"/>
    <col min="2" max="2" width="11.453125" style="1" customWidth="1"/>
    <col min="3" max="1024" width="11.26953125" style="1"/>
  </cols>
  <sheetData>
    <row r="1" spans="1:8" ht="15" customHeight="1">
      <c r="A1" s="400" t="s">
        <v>0</v>
      </c>
      <c r="B1" s="400"/>
      <c r="C1" s="400"/>
      <c r="D1" s="400"/>
      <c r="E1" s="400"/>
      <c r="F1" s="400"/>
      <c r="G1" s="400"/>
      <c r="H1" s="400"/>
    </row>
    <row r="2" spans="1:8" ht="33" customHeight="1">
      <c r="A2" s="400" t="s">
        <v>1</v>
      </c>
      <c r="B2" s="400"/>
      <c r="C2" s="400"/>
      <c r="D2" s="400"/>
      <c r="E2" s="400"/>
      <c r="F2" s="400"/>
      <c r="G2" s="400"/>
      <c r="H2" s="400"/>
    </row>
    <row r="3" spans="1:8" ht="14">
      <c r="A3" s="2"/>
      <c r="B3" s="2"/>
      <c r="C3" s="2"/>
      <c r="D3" s="2"/>
      <c r="E3" s="2"/>
      <c r="F3" s="2"/>
      <c r="G3" s="2"/>
      <c r="H3" s="2"/>
    </row>
    <row r="4" spans="1:8" ht="121.5" customHeight="1">
      <c r="A4" s="401" t="s">
        <v>2</v>
      </c>
      <c r="B4" s="401"/>
      <c r="C4" s="401"/>
      <c r="D4" s="401"/>
      <c r="E4" s="401"/>
      <c r="F4" s="401"/>
      <c r="G4" s="401"/>
      <c r="H4" s="401"/>
    </row>
    <row r="5" spans="1:8" ht="55.5" customHeight="1">
      <c r="A5" s="402" t="s">
        <v>3</v>
      </c>
      <c r="B5" s="402"/>
      <c r="C5" s="402"/>
      <c r="D5" s="402"/>
      <c r="E5" s="402"/>
      <c r="F5" s="402"/>
      <c r="G5" s="402"/>
      <c r="H5" s="402"/>
    </row>
    <row r="6" spans="1:8" ht="130.5" customHeight="1">
      <c r="A6" s="403" t="s">
        <v>4</v>
      </c>
      <c r="B6" s="403"/>
      <c r="C6" s="403"/>
      <c r="D6" s="403"/>
      <c r="E6" s="403"/>
      <c r="F6" s="403"/>
      <c r="G6" s="403"/>
      <c r="H6" s="403"/>
    </row>
    <row r="7" spans="1:8" ht="69" customHeight="1">
      <c r="A7" s="401" t="s">
        <v>5</v>
      </c>
      <c r="B7" s="401"/>
      <c r="C7" s="401"/>
      <c r="D7" s="401"/>
      <c r="E7" s="401"/>
      <c r="F7" s="401"/>
      <c r="G7" s="401"/>
      <c r="H7" s="401"/>
    </row>
    <row r="8" spans="1:8" ht="57" customHeight="1">
      <c r="A8" s="404" t="s">
        <v>6</v>
      </c>
      <c r="B8" s="404"/>
      <c r="C8" s="404"/>
      <c r="D8" s="404"/>
      <c r="E8" s="404"/>
      <c r="F8" s="404"/>
      <c r="G8" s="404"/>
      <c r="H8" s="404"/>
    </row>
    <row r="9" spans="1:8" ht="179.25" customHeight="1">
      <c r="A9" s="403" t="s">
        <v>7</v>
      </c>
      <c r="B9" s="403"/>
      <c r="C9" s="403"/>
      <c r="D9" s="403"/>
      <c r="E9" s="403"/>
      <c r="F9" s="403"/>
      <c r="G9" s="403"/>
      <c r="H9" s="403"/>
    </row>
    <row r="10" spans="1:8" ht="83.25" customHeight="1">
      <c r="A10" s="403" t="s">
        <v>8</v>
      </c>
      <c r="B10" s="403"/>
      <c r="C10" s="403"/>
      <c r="D10" s="403"/>
      <c r="E10" s="403"/>
      <c r="F10" s="403"/>
      <c r="G10" s="403"/>
      <c r="H10" s="403"/>
    </row>
    <row r="11" spans="1:8" ht="43.5" customHeight="1">
      <c r="A11" s="401" t="s">
        <v>9</v>
      </c>
      <c r="B11" s="401"/>
      <c r="C11" s="401"/>
      <c r="D11" s="401"/>
      <c r="E11" s="401"/>
      <c r="F11" s="401"/>
      <c r="G11" s="401"/>
      <c r="H11" s="401"/>
    </row>
    <row r="12" spans="1:8" ht="35.25" customHeight="1">
      <c r="A12" s="404" t="s">
        <v>10</v>
      </c>
      <c r="B12" s="404"/>
      <c r="C12" s="404"/>
      <c r="D12" s="404"/>
      <c r="E12" s="404"/>
      <c r="F12" s="404"/>
      <c r="G12" s="404"/>
      <c r="H12" s="404"/>
    </row>
    <row r="13" spans="1:8" ht="78.75" customHeight="1">
      <c r="A13" s="404" t="s">
        <v>11</v>
      </c>
      <c r="B13" s="404"/>
      <c r="C13" s="404"/>
      <c r="D13" s="404"/>
      <c r="E13" s="404"/>
      <c r="F13" s="404"/>
      <c r="G13" s="404"/>
      <c r="H13" s="404"/>
    </row>
    <row r="14" spans="1:8" ht="45" customHeight="1">
      <c r="A14" s="404" t="s">
        <v>12</v>
      </c>
      <c r="B14" s="404"/>
      <c r="C14" s="404"/>
      <c r="D14" s="404"/>
      <c r="E14" s="404"/>
      <c r="F14" s="404"/>
      <c r="G14" s="404"/>
      <c r="H14" s="404"/>
    </row>
    <row r="15" spans="1:8" ht="45" customHeight="1">
      <c r="A15" s="3">
        <v>2021</v>
      </c>
      <c r="B15" s="4" t="s">
        <v>13</v>
      </c>
      <c r="C15" s="5"/>
      <c r="D15" s="5"/>
      <c r="E15" s="5"/>
      <c r="F15" s="5"/>
      <c r="G15" s="5"/>
      <c r="H15" s="6"/>
    </row>
    <row r="17" spans="1:8" ht="18" customHeight="1">
      <c r="A17" s="7" t="s">
        <v>14</v>
      </c>
      <c r="B17" s="8"/>
      <c r="C17" s="8"/>
      <c r="D17" s="8"/>
      <c r="E17" s="8"/>
      <c r="F17" s="8"/>
      <c r="G17" s="8"/>
      <c r="H17" s="8"/>
    </row>
    <row r="18" spans="1:8" ht="28.5" customHeight="1">
      <c r="A18" s="406" t="s">
        <v>15</v>
      </c>
      <c r="B18" s="406"/>
      <c r="C18" s="406"/>
      <c r="D18" s="406"/>
      <c r="E18" s="406"/>
      <c r="F18" s="406"/>
      <c r="G18" s="406"/>
      <c r="H18" s="406"/>
    </row>
    <row r="19" spans="1:8" ht="39" customHeight="1">
      <c r="A19" s="405" t="s">
        <v>16</v>
      </c>
      <c r="B19" s="405"/>
      <c r="C19" s="405"/>
      <c r="D19" s="405"/>
      <c r="E19" s="405"/>
      <c r="F19" s="405"/>
      <c r="G19" s="405"/>
      <c r="H19" s="405"/>
    </row>
    <row r="20" spans="1:8" ht="34.5" customHeight="1">
      <c r="A20" s="405" t="s">
        <v>17</v>
      </c>
      <c r="B20" s="405"/>
      <c r="C20" s="405"/>
      <c r="D20" s="405"/>
      <c r="E20" s="405"/>
      <c r="F20" s="405"/>
      <c r="G20" s="405"/>
      <c r="H20" s="405"/>
    </row>
    <row r="21" spans="1:8" ht="23.25" customHeight="1">
      <c r="A21" s="405" t="s">
        <v>18</v>
      </c>
      <c r="B21" s="405"/>
      <c r="C21" s="405"/>
      <c r="D21" s="405"/>
      <c r="E21" s="405"/>
      <c r="F21" s="405"/>
      <c r="G21" s="405"/>
      <c r="H21" s="405"/>
    </row>
  </sheetData>
  <mergeCells count="17">
    <mergeCell ref="A20:H20"/>
    <mergeCell ref="A21:H21"/>
    <mergeCell ref="A12:H12"/>
    <mergeCell ref="A13:H13"/>
    <mergeCell ref="A14:H14"/>
    <mergeCell ref="A18:H18"/>
    <mergeCell ref="A19:H19"/>
    <mergeCell ref="A7:H7"/>
    <mergeCell ref="A8:H8"/>
    <mergeCell ref="A9:H9"/>
    <mergeCell ref="A10:H10"/>
    <mergeCell ref="A11:H11"/>
    <mergeCell ref="A1:H1"/>
    <mergeCell ref="A2:H2"/>
    <mergeCell ref="A4:H4"/>
    <mergeCell ref="A5:H5"/>
    <mergeCell ref="A6:H6"/>
  </mergeCells>
  <pageMargins left="0.55138888888888904" right="0.55138888888888904" top="0.78749999999999998" bottom="0.78749999999999998" header="0.51180555555555596" footer="0.51180555555555596"/>
  <pageSetup paperSize="9" orientation="portrait" horizontalDpi="300" verticalDpi="300"/>
  <headerFooter>
    <oddHeader>&amp;C&amp;F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BP122"/>
  <sheetViews>
    <sheetView tabSelected="1" zoomScaleNormal="100" workbookViewId="0">
      <pane xSplit="5520" ySplit="1080" topLeftCell="BA1" activePane="bottomRight"/>
      <selection activeCell="WXQ1" sqref="WWP1:WXQ1048576"/>
      <selection pane="topRight" activeCell="AW16" sqref="AW16"/>
      <selection pane="bottomLeft" activeCell="B47" sqref="B47"/>
      <selection pane="bottomRight" activeCell="BJ17" sqref="BJ17"/>
    </sheetView>
  </sheetViews>
  <sheetFormatPr baseColWidth="10" defaultColWidth="13.453125" defaultRowHeight="13"/>
  <cols>
    <col min="1" max="1" width="18.453125" customWidth="1"/>
    <col min="2" max="2" width="30.453125" customWidth="1"/>
    <col min="3" max="3" width="9.26953125" style="9" customWidth="1"/>
    <col min="4" max="4" width="17.453125" customWidth="1"/>
    <col min="10" max="10" width="12.81640625" customWidth="1"/>
    <col min="11" max="11" width="12.7265625" style="10" customWidth="1"/>
    <col min="12" max="12" width="8.81640625" style="10" customWidth="1"/>
    <col min="13" max="13" width="14.26953125" customWidth="1"/>
    <col min="16" max="16" width="16.1796875" customWidth="1"/>
    <col min="17" max="19" width="14.1796875" customWidth="1"/>
    <col min="20" max="20" width="8.81640625" customWidth="1"/>
    <col min="22" max="22" width="8.81640625" customWidth="1"/>
    <col min="24" max="24" width="8.81640625" customWidth="1"/>
    <col min="26" max="26" width="9" customWidth="1"/>
    <col min="27" max="27" width="10.7265625" customWidth="1"/>
    <col min="28" max="28" width="8.7265625" customWidth="1"/>
    <col min="29" max="29" width="10.7265625" customWidth="1"/>
    <col min="30" max="30" width="8.7265625" customWidth="1"/>
    <col min="31" max="31" width="10.7265625" customWidth="1"/>
    <col min="32" max="32" width="8.7265625" customWidth="1"/>
    <col min="33" max="33" width="10.7265625" customWidth="1"/>
    <col min="34" max="34" width="8.7265625" customWidth="1"/>
    <col min="35" max="35" width="10.7265625" customWidth="1"/>
    <col min="36" max="36" width="8.1796875" customWidth="1"/>
    <col min="37" max="37" width="10.7265625" customWidth="1"/>
    <col min="38" max="38" width="8.1796875" customWidth="1"/>
    <col min="40" max="40" width="8.1796875" customWidth="1"/>
    <col min="41" max="41" width="11.54296875" customWidth="1"/>
    <col min="42" max="42" width="9.453125" customWidth="1"/>
    <col min="43" max="43" width="11" customWidth="1"/>
    <col min="44" max="44" width="11.7265625" customWidth="1"/>
    <col min="45" max="45" width="11" customWidth="1"/>
    <col min="46" max="46" width="7.453125" customWidth="1"/>
    <col min="47" max="47" width="11" customWidth="1"/>
    <col min="48" max="48" width="11.54296875" customWidth="1"/>
    <col min="49" max="49" width="10.81640625" customWidth="1"/>
    <col min="50" max="50" width="7.453125" customWidth="1"/>
    <col min="51" max="51" width="14.54296875" customWidth="1"/>
    <col min="52" max="52" width="7.81640625" customWidth="1"/>
    <col min="53" max="53" width="11.81640625" customWidth="1"/>
    <col min="54" max="54" width="7.453125" customWidth="1"/>
    <col min="55" max="55" width="10.81640625" customWidth="1"/>
    <col min="56" max="56" width="9.1796875" customWidth="1"/>
    <col min="57" max="57" width="10.81640625" customWidth="1"/>
    <col min="58" max="58" width="7.81640625" customWidth="1"/>
    <col min="59" max="59" width="10.26953125" customWidth="1"/>
    <col min="60" max="60" width="9.81640625" customWidth="1"/>
    <col min="61" max="61" width="10.26953125" customWidth="1"/>
    <col min="62" max="62" width="7.453125" customWidth="1"/>
    <col min="63" max="63" width="10.26953125" customWidth="1"/>
    <col min="64" max="64" width="56.1796875" style="11" customWidth="1"/>
    <col min="65" max="65" width="42" style="12" customWidth="1"/>
  </cols>
  <sheetData>
    <row r="1" spans="1:68" s="24" customFormat="1" ht="41.25" customHeight="1" thickBot="1">
      <c r="A1" s="13" t="s">
        <v>19</v>
      </c>
      <c r="B1" s="14" t="s">
        <v>20</v>
      </c>
      <c r="C1" s="14" t="s">
        <v>21</v>
      </c>
      <c r="D1" s="15" t="s">
        <v>22</v>
      </c>
      <c r="E1" s="16" t="s">
        <v>23</v>
      </c>
      <c r="F1" s="17" t="s">
        <v>24</v>
      </c>
      <c r="G1" s="17" t="s">
        <v>25</v>
      </c>
      <c r="H1" s="17" t="s">
        <v>26</v>
      </c>
      <c r="I1" s="17" t="s">
        <v>27</v>
      </c>
      <c r="J1" s="17" t="s">
        <v>28</v>
      </c>
      <c r="K1" s="17" t="s">
        <v>29</v>
      </c>
      <c r="L1" s="18" t="s">
        <v>30</v>
      </c>
      <c r="M1" s="19" t="s">
        <v>31</v>
      </c>
      <c r="N1" s="19" t="s">
        <v>32</v>
      </c>
      <c r="O1" s="20" t="s">
        <v>33</v>
      </c>
      <c r="P1" s="20" t="s">
        <v>34</v>
      </c>
      <c r="Q1" s="20" t="s">
        <v>35</v>
      </c>
      <c r="R1" s="20" t="s">
        <v>36</v>
      </c>
      <c r="S1" s="20" t="s">
        <v>336</v>
      </c>
      <c r="T1" s="374"/>
      <c r="U1" s="374">
        <v>45292</v>
      </c>
      <c r="V1" s="21"/>
      <c r="W1" s="22">
        <v>45323</v>
      </c>
      <c r="X1" s="21"/>
      <c r="Y1" s="22">
        <v>45352</v>
      </c>
      <c r="Z1" s="21"/>
      <c r="AA1" s="22">
        <v>45383</v>
      </c>
      <c r="AB1" s="21"/>
      <c r="AC1" s="22">
        <v>45413</v>
      </c>
      <c r="AD1" s="21"/>
      <c r="AE1" s="22">
        <v>45444</v>
      </c>
      <c r="AF1" s="21"/>
      <c r="AG1" s="22">
        <v>45453</v>
      </c>
      <c r="AH1" s="21"/>
      <c r="AI1" s="22">
        <v>45463</v>
      </c>
      <c r="AJ1" s="21"/>
      <c r="AK1" s="22">
        <v>45474</v>
      </c>
      <c r="AL1" s="21"/>
      <c r="AM1" s="22">
        <v>45483</v>
      </c>
      <c r="AN1" s="21"/>
      <c r="AO1" s="22">
        <v>45493</v>
      </c>
      <c r="AP1" s="21"/>
      <c r="AQ1" s="22">
        <v>45505</v>
      </c>
      <c r="AR1" s="21"/>
      <c r="AS1" s="22">
        <v>45514</v>
      </c>
      <c r="AT1" s="21"/>
      <c r="AU1" s="22">
        <v>45524</v>
      </c>
      <c r="AV1" s="21"/>
      <c r="AW1" s="22">
        <v>45536</v>
      </c>
      <c r="AX1" s="21"/>
      <c r="AY1" s="22">
        <v>45545</v>
      </c>
      <c r="AZ1" s="21"/>
      <c r="BA1" s="22">
        <v>45555</v>
      </c>
      <c r="BB1" s="21"/>
      <c r="BC1" s="22">
        <v>45566</v>
      </c>
      <c r="BD1" s="21"/>
      <c r="BE1" s="22">
        <v>45575</v>
      </c>
      <c r="BF1" s="21"/>
      <c r="BG1" s="22">
        <v>45585</v>
      </c>
      <c r="BH1" s="21"/>
      <c r="BI1" s="22">
        <v>45597</v>
      </c>
      <c r="BJ1" s="21"/>
      <c r="BK1" s="22">
        <v>45627</v>
      </c>
      <c r="BL1" s="23" t="s">
        <v>37</v>
      </c>
      <c r="BM1" s="23" t="s">
        <v>38</v>
      </c>
    </row>
    <row r="2" spans="1:68">
      <c r="A2" s="25" t="s">
        <v>39</v>
      </c>
      <c r="B2" s="26" t="s">
        <v>40</v>
      </c>
      <c r="C2" s="27">
        <v>16</v>
      </c>
      <c r="D2" s="28" t="s">
        <v>41</v>
      </c>
      <c r="E2" s="29">
        <v>10.095000000000001</v>
      </c>
      <c r="F2" s="30">
        <v>10.095000000000001</v>
      </c>
      <c r="G2" s="30">
        <v>10.095000000000001</v>
      </c>
      <c r="H2" s="30">
        <v>10.095000000000001</v>
      </c>
      <c r="I2" s="30">
        <v>10.095000000000001</v>
      </c>
      <c r="J2" s="30">
        <v>10.095000000000001</v>
      </c>
      <c r="K2" s="30">
        <v>10.095000000000001</v>
      </c>
      <c r="L2" s="31">
        <v>10.095000000000001</v>
      </c>
      <c r="M2" s="32">
        <v>10.095000000000001</v>
      </c>
      <c r="N2" s="32">
        <v>10.095000000000001</v>
      </c>
      <c r="O2" s="33">
        <v>10.095000000000001</v>
      </c>
      <c r="P2" s="33">
        <v>10.095000000000001</v>
      </c>
      <c r="Q2" s="33">
        <v>10.095000000000001</v>
      </c>
      <c r="R2" s="33">
        <v>10.095000000000001</v>
      </c>
      <c r="S2" s="33">
        <v>10.095000000000001</v>
      </c>
      <c r="T2" s="34">
        <v>10.095000000000001</v>
      </c>
      <c r="U2" s="35">
        <f>T2/$S2</f>
        <v>1</v>
      </c>
      <c r="V2" s="34">
        <v>10.095000000000001</v>
      </c>
      <c r="W2" s="35">
        <f t="shared" ref="W2:W14" si="0">V2/$S2</f>
        <v>1</v>
      </c>
      <c r="X2" s="34">
        <v>10.09</v>
      </c>
      <c r="Y2" s="35">
        <f t="shared" ref="Y2:Y14" si="1">X2/$S2</f>
        <v>0.99950470529965318</v>
      </c>
      <c r="Z2" s="34">
        <v>10.095000000000001</v>
      </c>
      <c r="AA2" s="35">
        <f t="shared" ref="AA2:AA14" si="2">Z2/$S2</f>
        <v>1</v>
      </c>
      <c r="AB2" s="34">
        <v>10.095000000000001</v>
      </c>
      <c r="AC2" s="35">
        <f t="shared" ref="AC2:AC14" si="3">AB2/$S2</f>
        <v>1</v>
      </c>
      <c r="AD2" s="34">
        <v>10.09</v>
      </c>
      <c r="AE2" s="35">
        <f t="shared" ref="AE2:AE14" si="4">AD2/$S2</f>
        <v>0.99950470529965318</v>
      </c>
      <c r="AF2" s="34">
        <v>10.095000000000001</v>
      </c>
      <c r="AG2" s="35">
        <f t="shared" ref="AG2:AG14" si="5">AF2/$S2</f>
        <v>1</v>
      </c>
      <c r="AH2" s="34">
        <v>9.8020999999999994</v>
      </c>
      <c r="AI2" s="35">
        <f t="shared" ref="AI2:AI14" si="6">AH2/$S2</f>
        <v>0.97098563645368985</v>
      </c>
      <c r="AJ2" s="34">
        <v>9.9625000000000004</v>
      </c>
      <c r="AK2" s="35">
        <f t="shared" ref="AK2:AK14" si="7">AJ2/$S2</f>
        <v>0.98687469044081222</v>
      </c>
      <c r="AL2" s="34">
        <v>9.8594000000000008</v>
      </c>
      <c r="AM2" s="35">
        <f t="shared" ref="AM2:AM14" si="8">AL2/$S2</f>
        <v>0.97666171371966326</v>
      </c>
      <c r="AN2" s="34">
        <v>9.16</v>
      </c>
      <c r="AO2" s="35">
        <f t="shared" ref="AO2:AO14" si="9">AN2/$S2</f>
        <v>0.90737989103516592</v>
      </c>
      <c r="AP2" s="34">
        <v>7.3095999999999997</v>
      </c>
      <c r="AQ2" s="35">
        <f t="shared" ref="AQ2:AQ14" si="10">AP2/$S2</f>
        <v>0.72408122833085675</v>
      </c>
      <c r="AR2" s="34">
        <v>5.9927999999999999</v>
      </c>
      <c r="AS2" s="35">
        <f t="shared" ref="AS2:AS14" si="11">AR2/$S2</f>
        <v>0.59364041604754825</v>
      </c>
      <c r="AT2" s="34">
        <v>5.3822999999999999</v>
      </c>
      <c r="AU2" s="35">
        <f t="shared" ref="AU2:AU14" si="12">AT2/$S2</f>
        <v>0.5331649331352154</v>
      </c>
      <c r="AV2" s="34">
        <v>4.4370000000000003</v>
      </c>
      <c r="AW2" s="35">
        <f t="shared" ref="AW2:AW14" si="13">AV2/$S2</f>
        <v>0.43952451708766715</v>
      </c>
      <c r="AX2" s="34">
        <v>4.9130000000000003</v>
      </c>
      <c r="AY2" s="35">
        <f t="shared" ref="AY2:AY14" si="14">AX2/$S2</f>
        <v>0.48667657256067359</v>
      </c>
      <c r="AZ2" s="34">
        <v>5.2270000000000003</v>
      </c>
      <c r="BA2" s="35">
        <f t="shared" ref="BA2:BA14" si="15">AZ2/$S2</f>
        <v>0.5177810797424468</v>
      </c>
      <c r="BB2" s="34">
        <v>5.2169999999999996</v>
      </c>
      <c r="BC2" s="35">
        <f t="shared" ref="BC2:BC14" si="16">BB2/$S2</f>
        <v>0.51679049034175328</v>
      </c>
      <c r="BD2" s="34">
        <v>5.51</v>
      </c>
      <c r="BE2" s="35">
        <f t="shared" ref="BE2:BE14" si="17">BD2/$S2</f>
        <v>0.54581475978207028</v>
      </c>
      <c r="BF2" s="34">
        <v>7.4119999999999999</v>
      </c>
      <c r="BG2" s="35">
        <f t="shared" ref="BG2:BG14" si="18">BF2/$S2</f>
        <v>0.73422486379395735</v>
      </c>
      <c r="BH2" s="34">
        <v>9.3339999999999996</v>
      </c>
      <c r="BI2" s="35">
        <f t="shared" ref="BI2:BI14" si="19">BH2/$S2</f>
        <v>0.92461614660723124</v>
      </c>
      <c r="BJ2" s="34">
        <v>10.095000000000001</v>
      </c>
      <c r="BK2" s="35">
        <f t="shared" ref="BK2:BK14" si="20">BJ2/$S2</f>
        <v>1</v>
      </c>
      <c r="BL2" s="36" t="s">
        <v>42</v>
      </c>
    </row>
    <row r="3" spans="1:68">
      <c r="A3" s="37" t="s">
        <v>39</v>
      </c>
      <c r="B3" s="38" t="s">
        <v>43</v>
      </c>
      <c r="C3" s="39">
        <v>22</v>
      </c>
      <c r="D3" s="40" t="s">
        <v>44</v>
      </c>
      <c r="E3" s="41">
        <v>3.2</v>
      </c>
      <c r="F3" s="42">
        <v>3.2</v>
      </c>
      <c r="G3" s="42">
        <v>3.2</v>
      </c>
      <c r="H3" s="42">
        <v>3.2</v>
      </c>
      <c r="I3" s="42">
        <v>3.2</v>
      </c>
      <c r="J3" s="42">
        <v>3.2</v>
      </c>
      <c r="K3" s="42">
        <v>3.2</v>
      </c>
      <c r="L3" s="43">
        <v>3.2</v>
      </c>
      <c r="M3" s="44">
        <v>3.2</v>
      </c>
      <c r="N3" s="44">
        <v>3.2</v>
      </c>
      <c r="O3" s="45">
        <v>3.2</v>
      </c>
      <c r="P3" s="45">
        <v>3.2</v>
      </c>
      <c r="Q3" s="45">
        <v>3.2</v>
      </c>
      <c r="R3" s="45">
        <v>3.2</v>
      </c>
      <c r="S3" s="45">
        <v>3.2</v>
      </c>
      <c r="T3" s="46">
        <v>3.2</v>
      </c>
      <c r="U3" s="35">
        <f t="shared" ref="U3:U60" si="21">T3/$S3</f>
        <v>1</v>
      </c>
      <c r="V3" s="46">
        <v>2.99</v>
      </c>
      <c r="W3" s="35">
        <f t="shared" si="0"/>
        <v>0.93437500000000007</v>
      </c>
      <c r="X3" s="46">
        <v>3.11</v>
      </c>
      <c r="Y3" s="35">
        <f t="shared" si="1"/>
        <v>0.97187499999999993</v>
      </c>
      <c r="Z3" s="46">
        <v>3.17</v>
      </c>
      <c r="AA3" s="35">
        <f t="shared" si="2"/>
        <v>0.99062499999999998</v>
      </c>
      <c r="AB3" s="46">
        <v>3.1040000000000001</v>
      </c>
      <c r="AC3" s="35">
        <f t="shared" si="3"/>
        <v>0.97</v>
      </c>
      <c r="AD3" s="46">
        <v>3.1120000000000001</v>
      </c>
      <c r="AE3" s="35">
        <f t="shared" si="4"/>
        <v>0.97250000000000003</v>
      </c>
      <c r="AF3" s="46">
        <v>3.1288999999999998</v>
      </c>
      <c r="AG3" s="35">
        <f t="shared" si="5"/>
        <v>0.97778124999999994</v>
      </c>
      <c r="AH3" s="46">
        <v>3.1160999999999999</v>
      </c>
      <c r="AI3" s="35">
        <f t="shared" si="6"/>
        <v>0.97378124999999993</v>
      </c>
      <c r="AJ3" s="46">
        <v>3.1160000000000001</v>
      </c>
      <c r="AK3" s="35">
        <f t="shared" si="7"/>
        <v>0.97375</v>
      </c>
      <c r="AL3" s="46">
        <v>3.1032999999999999</v>
      </c>
      <c r="AM3" s="35">
        <f t="shared" si="8"/>
        <v>0.96978124999999993</v>
      </c>
      <c r="AN3" s="46">
        <v>2.9220000000000002</v>
      </c>
      <c r="AO3" s="35">
        <f t="shared" si="9"/>
        <v>0.91312499999999996</v>
      </c>
      <c r="AP3" s="46">
        <v>2.516</v>
      </c>
      <c r="AQ3" s="35">
        <f t="shared" si="10"/>
        <v>0.78625</v>
      </c>
      <c r="AR3" s="46">
        <v>2.0467</v>
      </c>
      <c r="AS3" s="35">
        <f t="shared" si="11"/>
        <v>0.63959374999999996</v>
      </c>
      <c r="AT3" s="46">
        <v>1.9833000000000001</v>
      </c>
      <c r="AU3" s="35">
        <f t="shared" si="12"/>
        <v>0.61978124999999995</v>
      </c>
      <c r="AV3">
        <v>1.8260000000000001</v>
      </c>
      <c r="AW3" s="35">
        <f t="shared" si="13"/>
        <v>0.57062499999999994</v>
      </c>
      <c r="AX3" s="46">
        <v>2.1339999999999999</v>
      </c>
      <c r="AY3" s="35">
        <f t="shared" si="14"/>
        <v>0.66687499999999988</v>
      </c>
      <c r="AZ3" s="46">
        <v>2.3490000000000002</v>
      </c>
      <c r="BA3" s="35">
        <f t="shared" si="15"/>
        <v>0.73406250000000006</v>
      </c>
      <c r="BB3" s="46">
        <v>2.4940000000000002</v>
      </c>
      <c r="BC3" s="35">
        <f t="shared" si="16"/>
        <v>0.77937500000000004</v>
      </c>
      <c r="BD3" s="46">
        <v>2.8130000000000002</v>
      </c>
      <c r="BE3" s="35">
        <f t="shared" si="17"/>
        <v>0.87906249999999997</v>
      </c>
      <c r="BF3" s="46">
        <v>3.1349999999999998</v>
      </c>
      <c r="BG3" s="35">
        <f t="shared" si="18"/>
        <v>0.97968749999999993</v>
      </c>
      <c r="BH3" s="46">
        <v>3.2</v>
      </c>
      <c r="BI3" s="35">
        <f t="shared" si="19"/>
        <v>1</v>
      </c>
      <c r="BJ3" s="46">
        <v>3.2</v>
      </c>
      <c r="BK3" s="35">
        <f t="shared" si="20"/>
        <v>1</v>
      </c>
      <c r="BL3" s="36" t="s">
        <v>42</v>
      </c>
    </row>
    <row r="4" spans="1:68">
      <c r="A4" s="37" t="s">
        <v>39</v>
      </c>
      <c r="B4" s="38" t="s">
        <v>45</v>
      </c>
      <c r="C4" s="39">
        <v>19</v>
      </c>
      <c r="D4" s="40" t="s">
        <v>46</v>
      </c>
      <c r="E4" s="41">
        <v>3.5</v>
      </c>
      <c r="F4" s="42">
        <v>3.5</v>
      </c>
      <c r="G4" s="42">
        <v>3.5</v>
      </c>
      <c r="H4" s="42">
        <v>3.5</v>
      </c>
      <c r="I4" s="42">
        <v>3.5</v>
      </c>
      <c r="J4" s="42">
        <v>3.5</v>
      </c>
      <c r="K4" s="42">
        <v>3.5</v>
      </c>
      <c r="L4" s="43">
        <v>3.5</v>
      </c>
      <c r="M4" s="44">
        <v>3.5</v>
      </c>
      <c r="N4" s="44">
        <v>3.5</v>
      </c>
      <c r="O4" s="45">
        <v>3.5</v>
      </c>
      <c r="P4" s="45">
        <v>3.5</v>
      </c>
      <c r="Q4" s="45">
        <v>3.5</v>
      </c>
      <c r="R4" s="45">
        <v>3.5</v>
      </c>
      <c r="S4" s="45">
        <v>3.5</v>
      </c>
      <c r="T4" s="46">
        <v>3.5</v>
      </c>
      <c r="U4" s="35">
        <f t="shared" si="21"/>
        <v>1</v>
      </c>
      <c r="V4" s="46">
        <v>3.444</v>
      </c>
      <c r="W4" s="35">
        <f t="shared" si="0"/>
        <v>0.98399999999999999</v>
      </c>
      <c r="X4" s="46">
        <v>3.4710000000000001</v>
      </c>
      <c r="Y4" s="35">
        <f t="shared" si="1"/>
        <v>0.99171428571428577</v>
      </c>
      <c r="Z4" s="46">
        <v>3.49</v>
      </c>
      <c r="AA4" s="35">
        <f t="shared" si="2"/>
        <v>0.99714285714285722</v>
      </c>
      <c r="AB4" s="46">
        <v>3.456</v>
      </c>
      <c r="AC4" s="35">
        <f t="shared" si="3"/>
        <v>0.98742857142857143</v>
      </c>
      <c r="AD4" s="46">
        <v>3.4710000000000001</v>
      </c>
      <c r="AE4" s="35">
        <f t="shared" si="4"/>
        <v>0.99171428571428577</v>
      </c>
      <c r="AF4" s="46">
        <v>3.49</v>
      </c>
      <c r="AG4" s="35">
        <f t="shared" si="5"/>
        <v>0.99714285714285722</v>
      </c>
      <c r="AH4" s="46">
        <v>3.4708000000000001</v>
      </c>
      <c r="AI4" s="35">
        <f t="shared" si="6"/>
        <v>0.9916571428571429</v>
      </c>
      <c r="AJ4" s="46">
        <v>3.4712000000000001</v>
      </c>
      <c r="AK4" s="35">
        <f t="shared" si="7"/>
        <v>0.99177142857142864</v>
      </c>
      <c r="AL4" s="46">
        <v>3.4729999999999999</v>
      </c>
      <c r="AM4" s="35">
        <f t="shared" si="8"/>
        <v>0.99228571428571422</v>
      </c>
      <c r="AN4" s="46">
        <v>3.3218999999999999</v>
      </c>
      <c r="AO4" s="35">
        <f t="shared" si="9"/>
        <v>0.94911428571428569</v>
      </c>
      <c r="AP4" s="46">
        <v>2.9643999999999999</v>
      </c>
      <c r="AQ4" s="35">
        <f t="shared" si="10"/>
        <v>0.8469714285714286</v>
      </c>
      <c r="AR4" s="46">
        <v>2.6072000000000002</v>
      </c>
      <c r="AS4" s="35">
        <f t="shared" si="11"/>
        <v>0.74491428571428575</v>
      </c>
      <c r="AT4" s="46">
        <v>2.4161000000000001</v>
      </c>
      <c r="AU4" s="35">
        <f t="shared" si="12"/>
        <v>0.69031428571428577</v>
      </c>
      <c r="AV4" s="46">
        <v>1.996</v>
      </c>
      <c r="AW4" s="35">
        <f t="shared" si="13"/>
        <v>0.57028571428571428</v>
      </c>
      <c r="AX4" s="46">
        <v>2.0539999999999998</v>
      </c>
      <c r="AY4" s="35">
        <f t="shared" si="14"/>
        <v>0.58685714285714285</v>
      </c>
      <c r="AZ4" s="46">
        <v>2.0489999999999999</v>
      </c>
      <c r="BA4" s="35">
        <f t="shared" si="15"/>
        <v>0.58542857142857141</v>
      </c>
      <c r="BB4" s="46">
        <v>2.069</v>
      </c>
      <c r="BC4" s="35">
        <f t="shared" si="16"/>
        <v>0.59114285714285708</v>
      </c>
      <c r="BD4" s="46">
        <v>2.0920000000000001</v>
      </c>
      <c r="BE4" s="35">
        <f t="shared" si="17"/>
        <v>0.59771428571428575</v>
      </c>
      <c r="BF4" s="46">
        <v>2.2559999999999998</v>
      </c>
      <c r="BG4" s="35">
        <f t="shared" si="18"/>
        <v>0.64457142857142846</v>
      </c>
      <c r="BH4" s="46">
        <v>2.468</v>
      </c>
      <c r="BI4" s="35">
        <f t="shared" si="19"/>
        <v>0.70514285714285718</v>
      </c>
      <c r="BJ4" s="46">
        <v>2.8370000000000002</v>
      </c>
      <c r="BK4" s="35">
        <f t="shared" si="20"/>
        <v>0.81057142857142861</v>
      </c>
      <c r="BL4" s="36" t="s">
        <v>42</v>
      </c>
      <c r="BN4" s="48" t="s">
        <v>47</v>
      </c>
      <c r="BO4" s="49"/>
    </row>
    <row r="5" spans="1:68">
      <c r="A5" s="37" t="s">
        <v>39</v>
      </c>
      <c r="B5" s="38" t="s">
        <v>48</v>
      </c>
      <c r="C5" s="39">
        <v>44</v>
      </c>
      <c r="D5" s="40" t="s">
        <v>48</v>
      </c>
      <c r="E5" s="41">
        <v>1.85</v>
      </c>
      <c r="F5" s="42">
        <v>1.85</v>
      </c>
      <c r="G5" s="42">
        <v>1.85</v>
      </c>
      <c r="H5" s="42">
        <v>1.85</v>
      </c>
      <c r="I5" s="42">
        <v>1.85</v>
      </c>
      <c r="J5" s="42">
        <v>1.85</v>
      </c>
      <c r="K5" s="42">
        <v>1.85</v>
      </c>
      <c r="L5" s="43">
        <v>1.85</v>
      </c>
      <c r="M5" s="44">
        <v>1.85</v>
      </c>
      <c r="N5" s="44">
        <v>1.85</v>
      </c>
      <c r="O5" s="45">
        <v>1.85</v>
      </c>
      <c r="P5" s="45">
        <v>1.85</v>
      </c>
      <c r="Q5" s="45">
        <v>1.85</v>
      </c>
      <c r="R5" s="45">
        <v>1.85</v>
      </c>
      <c r="S5" s="45">
        <v>1.85</v>
      </c>
      <c r="T5" s="46">
        <v>1.85</v>
      </c>
      <c r="U5" s="35">
        <f t="shared" si="21"/>
        <v>1</v>
      </c>
      <c r="V5" s="46">
        <v>1.85</v>
      </c>
      <c r="W5" s="35">
        <f t="shared" si="0"/>
        <v>1</v>
      </c>
      <c r="X5" s="46">
        <v>1.85</v>
      </c>
      <c r="Y5" s="35">
        <f t="shared" si="1"/>
        <v>1</v>
      </c>
      <c r="Z5" s="46">
        <v>1.85</v>
      </c>
      <c r="AA5" s="35">
        <f t="shared" si="2"/>
        <v>1</v>
      </c>
      <c r="AB5" s="46">
        <v>1.85</v>
      </c>
      <c r="AC5" s="35">
        <f t="shared" si="3"/>
        <v>1</v>
      </c>
      <c r="AD5" s="46">
        <v>1.85</v>
      </c>
      <c r="AE5" s="35">
        <f t="shared" si="4"/>
        <v>1</v>
      </c>
      <c r="AF5" s="46">
        <v>1.85</v>
      </c>
      <c r="AG5" s="35">
        <f t="shared" si="5"/>
        <v>1</v>
      </c>
      <c r="AH5" s="46">
        <v>1.85</v>
      </c>
      <c r="AI5" s="35">
        <f t="shared" si="6"/>
        <v>1</v>
      </c>
      <c r="AJ5" s="46">
        <v>1.85</v>
      </c>
      <c r="AK5" s="35">
        <f t="shared" si="7"/>
        <v>1</v>
      </c>
      <c r="AL5" s="46">
        <v>1.7965</v>
      </c>
      <c r="AM5" s="35">
        <f t="shared" si="8"/>
        <v>0.97108108108108104</v>
      </c>
      <c r="AN5" s="46">
        <v>1.6147</v>
      </c>
      <c r="AO5" s="35">
        <f t="shared" si="9"/>
        <v>0.8728108108108108</v>
      </c>
      <c r="AP5" s="46">
        <v>1.1011</v>
      </c>
      <c r="AQ5" s="35">
        <f t="shared" si="10"/>
        <v>0.59518918918918917</v>
      </c>
      <c r="AR5" s="46">
        <v>0.98853000000000002</v>
      </c>
      <c r="AS5" s="35">
        <f t="shared" si="11"/>
        <v>0.53434054054054048</v>
      </c>
      <c r="AT5" s="46">
        <v>1.0482</v>
      </c>
      <c r="AU5" s="35">
        <f t="shared" si="12"/>
        <v>0.5665945945945946</v>
      </c>
      <c r="AV5" s="46">
        <v>0.754</v>
      </c>
      <c r="AW5" s="35">
        <f t="shared" si="13"/>
        <v>0.40756756756756757</v>
      </c>
      <c r="AX5" s="46">
        <v>0.79100000000000004</v>
      </c>
      <c r="AY5" s="35">
        <f t="shared" si="14"/>
        <v>0.42756756756756759</v>
      </c>
      <c r="AZ5" s="46">
        <v>0.80700000000000005</v>
      </c>
      <c r="BA5" s="35">
        <f t="shared" si="15"/>
        <v>0.4362162162162162</v>
      </c>
      <c r="BB5" s="46">
        <v>0.84299999999999997</v>
      </c>
      <c r="BC5" s="35">
        <f t="shared" si="16"/>
        <v>0.45567567567567563</v>
      </c>
      <c r="BD5" s="46">
        <v>0.85899999999999999</v>
      </c>
      <c r="BE5" s="35">
        <f t="shared" si="17"/>
        <v>0.4643243243243243</v>
      </c>
      <c r="BF5" s="46">
        <v>0.91100000000000003</v>
      </c>
      <c r="BG5" s="35">
        <f t="shared" si="18"/>
        <v>0.4924324324324324</v>
      </c>
      <c r="BH5" s="46">
        <v>1.036</v>
      </c>
      <c r="BI5" s="35">
        <f t="shared" si="19"/>
        <v>0.55999999999999994</v>
      </c>
      <c r="BJ5" s="46">
        <v>1.304</v>
      </c>
      <c r="BK5" s="35">
        <f t="shared" si="20"/>
        <v>0.70486486486486488</v>
      </c>
      <c r="BL5" s="36" t="s">
        <v>42</v>
      </c>
      <c r="BN5" t="s">
        <v>49</v>
      </c>
    </row>
    <row r="6" spans="1:68">
      <c r="A6" s="37" t="s">
        <v>39</v>
      </c>
      <c r="B6" s="38" t="s">
        <v>50</v>
      </c>
      <c r="C6" s="39">
        <v>49</v>
      </c>
      <c r="D6" s="40" t="s">
        <v>50</v>
      </c>
      <c r="E6" s="41">
        <v>20</v>
      </c>
      <c r="F6" s="42">
        <v>20</v>
      </c>
      <c r="G6" s="42">
        <v>20</v>
      </c>
      <c r="H6" s="42">
        <v>20</v>
      </c>
      <c r="I6" s="42">
        <v>20</v>
      </c>
      <c r="J6" s="42">
        <v>20</v>
      </c>
      <c r="K6" s="42">
        <v>20</v>
      </c>
      <c r="L6" s="43">
        <v>20</v>
      </c>
      <c r="M6" s="44">
        <v>20</v>
      </c>
      <c r="N6" s="44">
        <v>20</v>
      </c>
      <c r="O6" s="45">
        <v>20</v>
      </c>
      <c r="P6" s="45">
        <v>20</v>
      </c>
      <c r="Q6" s="45">
        <v>20</v>
      </c>
      <c r="R6" s="45">
        <v>20</v>
      </c>
      <c r="S6" s="45">
        <v>20</v>
      </c>
      <c r="T6" s="46">
        <v>18.864999999999998</v>
      </c>
      <c r="U6" s="35">
        <f t="shared" si="21"/>
        <v>0.94324999999999992</v>
      </c>
      <c r="V6" s="46">
        <v>19.600000000000001</v>
      </c>
      <c r="W6" s="35">
        <f t="shared" si="0"/>
        <v>0.98000000000000009</v>
      </c>
      <c r="X6" s="46">
        <v>20</v>
      </c>
      <c r="Y6" s="35">
        <f t="shared" si="1"/>
        <v>1</v>
      </c>
      <c r="Z6" s="46">
        <v>20</v>
      </c>
      <c r="AA6" s="35">
        <f t="shared" si="2"/>
        <v>1</v>
      </c>
      <c r="AB6" s="46">
        <v>20</v>
      </c>
      <c r="AC6" s="35">
        <f t="shared" si="3"/>
        <v>1</v>
      </c>
      <c r="AD6" s="46">
        <v>20</v>
      </c>
      <c r="AE6" s="35">
        <f t="shared" si="4"/>
        <v>1</v>
      </c>
      <c r="AF6" s="46">
        <v>20</v>
      </c>
      <c r="AG6" s="35">
        <f t="shared" si="5"/>
        <v>1</v>
      </c>
      <c r="AH6" s="46">
        <v>20</v>
      </c>
      <c r="AI6" s="35">
        <f t="shared" si="6"/>
        <v>1</v>
      </c>
      <c r="AJ6" s="46">
        <v>20</v>
      </c>
      <c r="AK6" s="35">
        <f t="shared" si="7"/>
        <v>1</v>
      </c>
      <c r="AL6" s="46">
        <v>20</v>
      </c>
      <c r="AM6" s="35">
        <f t="shared" si="8"/>
        <v>1</v>
      </c>
      <c r="AN6" s="46">
        <v>19.079999999999998</v>
      </c>
      <c r="AO6" s="35">
        <f t="shared" si="9"/>
        <v>0.95399999999999996</v>
      </c>
      <c r="AP6" s="387">
        <v>16.527000000000001</v>
      </c>
      <c r="AQ6" s="35">
        <f t="shared" si="10"/>
        <v>0.82635000000000003</v>
      </c>
      <c r="AR6" s="46">
        <v>14.648999999999999</v>
      </c>
      <c r="AS6" s="35">
        <f t="shared" si="11"/>
        <v>0.73244999999999993</v>
      </c>
      <c r="AT6" s="46">
        <v>12.933999999999999</v>
      </c>
      <c r="AU6" s="35">
        <f t="shared" si="12"/>
        <v>0.64669999999999994</v>
      </c>
      <c r="AV6">
        <v>10.99</v>
      </c>
      <c r="AW6" s="35">
        <f t="shared" si="13"/>
        <v>0.54949999999999999</v>
      </c>
      <c r="AX6" s="46">
        <v>11.538</v>
      </c>
      <c r="AY6" s="35">
        <f t="shared" si="14"/>
        <v>0.57689999999999997</v>
      </c>
      <c r="AZ6" s="46">
        <v>11.920999999999999</v>
      </c>
      <c r="BA6" s="35">
        <f t="shared" si="15"/>
        <v>0.59604999999999997</v>
      </c>
      <c r="BB6" s="46">
        <v>11.994999999999999</v>
      </c>
      <c r="BC6" s="35">
        <f t="shared" si="16"/>
        <v>0.59975000000000001</v>
      </c>
      <c r="BD6" s="46">
        <v>12.587999999999999</v>
      </c>
      <c r="BE6" s="35">
        <f t="shared" si="17"/>
        <v>0.62939999999999996</v>
      </c>
      <c r="BF6" s="46">
        <v>14.571999999999999</v>
      </c>
      <c r="BG6" s="35">
        <f t="shared" si="18"/>
        <v>0.72859999999999991</v>
      </c>
      <c r="BH6" s="46">
        <v>16.329999999999998</v>
      </c>
      <c r="BI6" s="35">
        <f t="shared" si="19"/>
        <v>0.81649999999999989</v>
      </c>
      <c r="BJ6" s="46">
        <v>17.667999999999999</v>
      </c>
      <c r="BK6" s="35">
        <f t="shared" si="20"/>
        <v>0.88339999999999996</v>
      </c>
      <c r="BL6" s="36" t="s">
        <v>42</v>
      </c>
      <c r="BN6" t="s">
        <v>51</v>
      </c>
    </row>
    <row r="7" spans="1:68">
      <c r="A7" s="37" t="s">
        <v>39</v>
      </c>
      <c r="B7" s="38" t="s">
        <v>52</v>
      </c>
      <c r="C7" s="39">
        <v>48</v>
      </c>
      <c r="D7" s="40" t="s">
        <v>52</v>
      </c>
      <c r="E7" s="41">
        <v>3.2</v>
      </c>
      <c r="F7" s="42">
        <v>3.2</v>
      </c>
      <c r="G7" s="42">
        <v>3.15</v>
      </c>
      <c r="H7" s="42">
        <v>3.15</v>
      </c>
      <c r="I7" s="42">
        <v>3.15</v>
      </c>
      <c r="J7" s="42">
        <v>3.15</v>
      </c>
      <c r="K7" s="42">
        <v>3.15</v>
      </c>
      <c r="L7" s="43">
        <v>3.15</v>
      </c>
      <c r="M7" s="44">
        <v>3.15</v>
      </c>
      <c r="N7" s="44">
        <v>3.15</v>
      </c>
      <c r="O7" s="45">
        <v>3.15</v>
      </c>
      <c r="P7" s="45">
        <v>3.15</v>
      </c>
      <c r="Q7" s="45">
        <v>3.15</v>
      </c>
      <c r="R7" s="45">
        <v>3.15</v>
      </c>
      <c r="S7" s="45">
        <v>3.15</v>
      </c>
      <c r="T7" s="46">
        <v>3.15</v>
      </c>
      <c r="U7" s="35">
        <f t="shared" si="21"/>
        <v>1</v>
      </c>
      <c r="V7" s="46">
        <v>3.15</v>
      </c>
      <c r="W7" s="35">
        <f t="shared" si="0"/>
        <v>1</v>
      </c>
      <c r="X7" s="46">
        <v>3.15</v>
      </c>
      <c r="Y7" s="35">
        <f t="shared" si="1"/>
        <v>1</v>
      </c>
      <c r="Z7" s="46">
        <v>3.15</v>
      </c>
      <c r="AA7" s="35">
        <f t="shared" si="2"/>
        <v>1</v>
      </c>
      <c r="AB7" s="46">
        <v>3.15</v>
      </c>
      <c r="AC7" s="35">
        <f t="shared" si="3"/>
        <v>1</v>
      </c>
      <c r="AD7" s="46">
        <v>3.15</v>
      </c>
      <c r="AE7" s="35">
        <f t="shared" si="4"/>
        <v>1</v>
      </c>
      <c r="AF7" s="46">
        <v>3.15</v>
      </c>
      <c r="AG7" s="35">
        <f t="shared" si="5"/>
        <v>1</v>
      </c>
      <c r="AH7" s="46">
        <v>3.1427999999999998</v>
      </c>
      <c r="AI7" s="35">
        <f t="shared" si="6"/>
        <v>0.99771428571428566</v>
      </c>
      <c r="AJ7" s="46">
        <v>3.15</v>
      </c>
      <c r="AK7" s="35">
        <f t="shared" si="7"/>
        <v>1</v>
      </c>
      <c r="AL7" s="46">
        <v>3.1493000000000002</v>
      </c>
      <c r="AM7" s="35">
        <f t="shared" si="8"/>
        <v>0.99977777777777788</v>
      </c>
      <c r="AN7" s="46">
        <v>2.8740999999999999</v>
      </c>
      <c r="AO7" s="35">
        <f t="shared" si="9"/>
        <v>0.91241269841269845</v>
      </c>
      <c r="AP7" s="46">
        <v>2.4</v>
      </c>
      <c r="AQ7" s="35">
        <f t="shared" si="10"/>
        <v>0.76190476190476186</v>
      </c>
      <c r="AR7" s="46">
        <v>2.0697999999999999</v>
      </c>
      <c r="AS7" s="35">
        <f t="shared" si="11"/>
        <v>0.65707936507936504</v>
      </c>
      <c r="AT7" s="46">
        <v>1.9034</v>
      </c>
      <c r="AU7" s="35">
        <f t="shared" si="12"/>
        <v>0.60425396825396827</v>
      </c>
      <c r="AV7" s="46">
        <v>1.5229999999999999</v>
      </c>
      <c r="AW7" s="35">
        <f t="shared" si="13"/>
        <v>0.48349206349206347</v>
      </c>
      <c r="AX7" s="46">
        <v>1.5269999999999999</v>
      </c>
      <c r="AY7" s="35">
        <f t="shared" si="14"/>
        <v>0.48476190476190473</v>
      </c>
      <c r="AZ7" s="46">
        <v>1.492</v>
      </c>
      <c r="BA7" s="35">
        <f t="shared" si="15"/>
        <v>0.47365079365079366</v>
      </c>
      <c r="BB7" s="46">
        <v>1.526</v>
      </c>
      <c r="BC7" s="35">
        <f t="shared" si="16"/>
        <v>0.48444444444444446</v>
      </c>
      <c r="BD7" s="46">
        <v>1.546</v>
      </c>
      <c r="BE7" s="35">
        <f t="shared" si="17"/>
        <v>0.49079365079365084</v>
      </c>
      <c r="BF7" s="46">
        <v>1.8180000000000001</v>
      </c>
      <c r="BG7" s="35">
        <f t="shared" si="18"/>
        <v>0.57714285714285718</v>
      </c>
      <c r="BH7" s="46">
        <v>2.2919999999999998</v>
      </c>
      <c r="BI7" s="35">
        <f t="shared" si="19"/>
        <v>0.72761904761904761</v>
      </c>
      <c r="BJ7" s="46">
        <v>3.15</v>
      </c>
      <c r="BK7" s="35">
        <f t="shared" si="20"/>
        <v>1</v>
      </c>
      <c r="BL7" s="36" t="s">
        <v>42</v>
      </c>
      <c r="BN7" t="s">
        <v>53</v>
      </c>
    </row>
    <row r="8" spans="1:68">
      <c r="A8" s="37" t="s">
        <v>39</v>
      </c>
      <c r="B8" s="38" t="s">
        <v>54</v>
      </c>
      <c r="C8" s="39">
        <v>18</v>
      </c>
      <c r="D8" s="40" t="s">
        <v>55</v>
      </c>
      <c r="E8" s="41">
        <v>2.5009999999999999</v>
      </c>
      <c r="F8" s="42">
        <v>2.5009999999999999</v>
      </c>
      <c r="G8" s="42">
        <v>2.5</v>
      </c>
      <c r="H8" s="42">
        <v>2.5</v>
      </c>
      <c r="I8" s="42">
        <v>2.5</v>
      </c>
      <c r="J8" s="42">
        <v>2.5</v>
      </c>
      <c r="K8" s="42">
        <v>2.5</v>
      </c>
      <c r="L8" s="43">
        <v>2.5</v>
      </c>
      <c r="M8" s="44">
        <v>2.5</v>
      </c>
      <c r="N8" s="44">
        <v>2.5</v>
      </c>
      <c r="O8" s="45">
        <v>2.5</v>
      </c>
      <c r="P8" s="45">
        <v>2.5</v>
      </c>
      <c r="Q8" s="45">
        <v>2.5</v>
      </c>
      <c r="R8" s="45">
        <v>2.5</v>
      </c>
      <c r="S8" s="45">
        <v>2.5</v>
      </c>
      <c r="T8" s="46">
        <v>2.5</v>
      </c>
      <c r="U8" s="35">
        <f t="shared" si="21"/>
        <v>1</v>
      </c>
      <c r="V8" s="46">
        <v>2.4079999999999999</v>
      </c>
      <c r="W8" s="35">
        <f t="shared" si="0"/>
        <v>0.96319999999999995</v>
      </c>
      <c r="X8" s="46">
        <v>2.5</v>
      </c>
      <c r="Y8" s="35">
        <f t="shared" si="1"/>
        <v>1</v>
      </c>
      <c r="Z8" s="46">
        <v>2.5</v>
      </c>
      <c r="AA8" s="35">
        <f t="shared" si="2"/>
        <v>1</v>
      </c>
      <c r="AB8" s="46">
        <v>2.4729999999999999</v>
      </c>
      <c r="AC8" s="35">
        <f t="shared" si="3"/>
        <v>0.98919999999999997</v>
      </c>
      <c r="AD8" s="46">
        <v>2.5</v>
      </c>
      <c r="AE8" s="35">
        <f t="shared" si="4"/>
        <v>1</v>
      </c>
      <c r="AF8" s="46">
        <v>2.5</v>
      </c>
      <c r="AG8" s="35">
        <f t="shared" si="5"/>
        <v>1</v>
      </c>
      <c r="AH8" s="46">
        <v>2.5</v>
      </c>
      <c r="AI8" s="35">
        <f t="shared" si="6"/>
        <v>1</v>
      </c>
      <c r="AJ8" s="46">
        <v>2.5</v>
      </c>
      <c r="AK8" s="35">
        <f t="shared" si="7"/>
        <v>1</v>
      </c>
      <c r="AL8" s="46">
        <v>2.4914000000000001</v>
      </c>
      <c r="AM8" s="35">
        <f t="shared" si="8"/>
        <v>0.99656</v>
      </c>
      <c r="AN8" s="46">
        <v>2.4458000000000002</v>
      </c>
      <c r="AO8" s="35">
        <f t="shared" si="9"/>
        <v>0.97832000000000008</v>
      </c>
      <c r="AP8" s="46">
        <v>2.2555999999999998</v>
      </c>
      <c r="AQ8" s="35">
        <f t="shared" si="10"/>
        <v>0.90223999999999993</v>
      </c>
      <c r="AR8" s="46">
        <v>2.1103999999999998</v>
      </c>
      <c r="AS8" s="35">
        <f t="shared" si="11"/>
        <v>0.84415999999999991</v>
      </c>
      <c r="AT8" s="46">
        <v>2.0150000000000001</v>
      </c>
      <c r="AU8" s="35">
        <f t="shared" si="12"/>
        <v>0.80600000000000005</v>
      </c>
      <c r="AV8">
        <v>1.865</v>
      </c>
      <c r="AW8" s="35">
        <f t="shared" si="13"/>
        <v>0.746</v>
      </c>
      <c r="AX8" s="46">
        <v>1.905</v>
      </c>
      <c r="AY8" s="35">
        <f t="shared" si="14"/>
        <v>0.76200000000000001</v>
      </c>
      <c r="AZ8" s="46">
        <v>1.885</v>
      </c>
      <c r="BA8" s="35">
        <f t="shared" si="15"/>
        <v>0.754</v>
      </c>
      <c r="BB8" s="46">
        <v>1.96</v>
      </c>
      <c r="BC8" s="35">
        <f t="shared" si="16"/>
        <v>0.78400000000000003</v>
      </c>
      <c r="BD8" s="46">
        <v>2.0049999999999999</v>
      </c>
      <c r="BE8" s="35">
        <f t="shared" si="17"/>
        <v>0.80199999999999994</v>
      </c>
      <c r="BF8" s="46">
        <v>2.4900000000000002</v>
      </c>
      <c r="BG8" s="35">
        <f t="shared" si="18"/>
        <v>0.99600000000000011</v>
      </c>
      <c r="BH8" s="46">
        <v>2.5</v>
      </c>
      <c r="BI8" s="35">
        <f t="shared" si="19"/>
        <v>1</v>
      </c>
      <c r="BJ8" s="46">
        <v>2.5</v>
      </c>
      <c r="BK8" s="35">
        <f t="shared" si="20"/>
        <v>1</v>
      </c>
      <c r="BL8" s="36" t="s">
        <v>42</v>
      </c>
    </row>
    <row r="9" spans="1:68">
      <c r="A9" s="37" t="s">
        <v>39</v>
      </c>
      <c r="B9" s="38" t="s">
        <v>56</v>
      </c>
      <c r="C9" s="39">
        <v>39</v>
      </c>
      <c r="D9" s="40" t="s">
        <v>39</v>
      </c>
      <c r="E9" s="41">
        <v>11.7</v>
      </c>
      <c r="F9" s="42">
        <v>11.7</v>
      </c>
      <c r="G9" s="42">
        <v>11.7</v>
      </c>
      <c r="H9" s="42">
        <v>11.7</v>
      </c>
      <c r="I9" s="42">
        <v>11.7</v>
      </c>
      <c r="J9" s="42">
        <v>11.7</v>
      </c>
      <c r="K9" s="42">
        <v>11.7</v>
      </c>
      <c r="L9" s="43">
        <v>11.7</v>
      </c>
      <c r="M9" s="44">
        <v>11.7</v>
      </c>
      <c r="N9" s="44">
        <v>11.7</v>
      </c>
      <c r="O9" s="45">
        <v>11.7</v>
      </c>
      <c r="P9" s="45">
        <v>11.7</v>
      </c>
      <c r="Q9" s="45">
        <v>11.7</v>
      </c>
      <c r="R9" s="45">
        <v>11.7</v>
      </c>
      <c r="S9" s="45">
        <v>11.7</v>
      </c>
      <c r="T9" s="46">
        <v>6.9160000000000004</v>
      </c>
      <c r="U9" s="35">
        <f t="shared" si="21"/>
        <v>0.59111111111111114</v>
      </c>
      <c r="V9" s="46">
        <v>7.4050000000000002</v>
      </c>
      <c r="W9" s="35">
        <f t="shared" si="0"/>
        <v>0.63290598290598299</v>
      </c>
      <c r="X9" s="46">
        <v>7.51</v>
      </c>
      <c r="Y9" s="35">
        <f t="shared" si="1"/>
        <v>0.64188034188034193</v>
      </c>
      <c r="Z9" s="46">
        <v>8.3759999999999994</v>
      </c>
      <c r="AA9" s="35">
        <f t="shared" si="2"/>
        <v>0.71589743589743593</v>
      </c>
      <c r="AB9" s="46">
        <v>8.7550000000000008</v>
      </c>
      <c r="AC9" s="35">
        <f t="shared" si="3"/>
        <v>0.74829059829059841</v>
      </c>
      <c r="AD9" s="46">
        <v>9.2565000000000008</v>
      </c>
      <c r="AE9" s="35">
        <f t="shared" si="4"/>
        <v>0.79115384615384632</v>
      </c>
      <c r="AF9" s="46">
        <v>9.1983999999999995</v>
      </c>
      <c r="AG9" s="35">
        <f t="shared" si="5"/>
        <v>0.78618803418803418</v>
      </c>
      <c r="AH9" s="46">
        <v>10.096</v>
      </c>
      <c r="AI9" s="35">
        <f t="shared" si="6"/>
        <v>0.86290598290598297</v>
      </c>
      <c r="AJ9" s="46">
        <v>10.459</v>
      </c>
      <c r="AK9" s="35">
        <f t="shared" si="7"/>
        <v>0.89393162393162395</v>
      </c>
      <c r="AL9" s="46">
        <v>10.49</v>
      </c>
      <c r="AM9" s="35">
        <f t="shared" si="8"/>
        <v>0.89658119658119662</v>
      </c>
      <c r="AN9" s="46">
        <v>10.552</v>
      </c>
      <c r="AO9" s="35">
        <f t="shared" si="9"/>
        <v>0.90188034188034194</v>
      </c>
      <c r="AP9" s="46">
        <v>9.9248999999999992</v>
      </c>
      <c r="AQ9" s="35">
        <f t="shared" si="10"/>
        <v>0.84828205128205125</v>
      </c>
      <c r="AR9" s="46">
        <v>9.0622000000000007</v>
      </c>
      <c r="AS9" s="35">
        <f t="shared" si="11"/>
        <v>0.77454700854700864</v>
      </c>
      <c r="AT9" s="46">
        <v>8.7449999999999992</v>
      </c>
      <c r="AU9" s="35">
        <f t="shared" si="12"/>
        <v>0.74743589743589745</v>
      </c>
      <c r="AV9" s="46">
        <v>7.8689999999999998</v>
      </c>
      <c r="AW9" s="35">
        <f t="shared" si="13"/>
        <v>0.67256410256410259</v>
      </c>
      <c r="AX9" s="46">
        <v>7.89</v>
      </c>
      <c r="AY9" s="35">
        <f t="shared" si="14"/>
        <v>0.67435897435897441</v>
      </c>
      <c r="AZ9" s="46">
        <v>7.9</v>
      </c>
      <c r="BA9" s="35">
        <f t="shared" si="15"/>
        <v>0.67521367521367526</v>
      </c>
      <c r="BB9" s="46">
        <v>7.92</v>
      </c>
      <c r="BC9" s="35">
        <f t="shared" si="16"/>
        <v>0.67692307692307696</v>
      </c>
      <c r="BD9" s="46">
        <v>7.9139999999999997</v>
      </c>
      <c r="BE9" s="35">
        <f t="shared" si="17"/>
        <v>0.67641025641025643</v>
      </c>
      <c r="BF9" s="46">
        <v>8.0340000000000007</v>
      </c>
      <c r="BG9" s="35">
        <f t="shared" si="18"/>
        <v>0.68666666666666676</v>
      </c>
      <c r="BH9" s="46">
        <v>8.2200000000000006</v>
      </c>
      <c r="BI9" s="35">
        <f t="shared" si="19"/>
        <v>0.70256410256410262</v>
      </c>
      <c r="BJ9" s="46">
        <v>8.5289999999999999</v>
      </c>
      <c r="BK9" s="35">
        <f t="shared" si="20"/>
        <v>0.72897435897435903</v>
      </c>
      <c r="BL9" s="36" t="s">
        <v>42</v>
      </c>
    </row>
    <row r="10" spans="1:68">
      <c r="A10" s="37" t="s">
        <v>39</v>
      </c>
      <c r="B10" s="38" t="s">
        <v>57</v>
      </c>
      <c r="C10" s="39">
        <v>17</v>
      </c>
      <c r="D10" s="40" t="s">
        <v>57</v>
      </c>
      <c r="E10" s="41">
        <v>5.21</v>
      </c>
      <c r="F10" s="42">
        <v>5.21</v>
      </c>
      <c r="G10" s="42">
        <v>5.2</v>
      </c>
      <c r="H10" s="42">
        <v>5.2</v>
      </c>
      <c r="I10" s="42">
        <v>5.2</v>
      </c>
      <c r="J10" s="42">
        <v>5.2</v>
      </c>
      <c r="K10" s="42">
        <v>5.2</v>
      </c>
      <c r="L10" s="43">
        <v>5.2</v>
      </c>
      <c r="M10" s="44">
        <v>5.2</v>
      </c>
      <c r="N10" s="44">
        <v>5.2</v>
      </c>
      <c r="O10" s="45">
        <v>5.2</v>
      </c>
      <c r="P10" s="45">
        <v>5.2</v>
      </c>
      <c r="Q10" s="45">
        <v>5.2</v>
      </c>
      <c r="R10" s="45">
        <v>5.2</v>
      </c>
      <c r="S10" s="45">
        <v>5.2</v>
      </c>
      <c r="T10" s="46">
        <v>1.607</v>
      </c>
      <c r="U10" s="35">
        <f t="shared" si="21"/>
        <v>0.30903846153846154</v>
      </c>
      <c r="V10" s="46">
        <v>2.218</v>
      </c>
      <c r="W10" s="35">
        <f t="shared" si="0"/>
        <v>0.42653846153846153</v>
      </c>
      <c r="X10" s="46">
        <v>3.5550000000000002</v>
      </c>
      <c r="Y10" s="35">
        <f t="shared" si="1"/>
        <v>0.68365384615384617</v>
      </c>
      <c r="Z10" s="46">
        <v>5.0389999999999997</v>
      </c>
      <c r="AA10" s="35">
        <f t="shared" si="2"/>
        <v>0.9690384615384614</v>
      </c>
      <c r="AB10" s="46">
        <v>5.0609999999999999</v>
      </c>
      <c r="AC10" s="35">
        <f t="shared" si="3"/>
        <v>0.97326923076923078</v>
      </c>
      <c r="AD10" s="46">
        <v>5.2</v>
      </c>
      <c r="AE10" s="35">
        <f t="shared" si="4"/>
        <v>1</v>
      </c>
      <c r="AF10" s="46">
        <v>5.2</v>
      </c>
      <c r="AG10" s="35">
        <f t="shared" si="5"/>
        <v>1</v>
      </c>
      <c r="AH10" s="46">
        <v>5.2</v>
      </c>
      <c r="AI10" s="35">
        <f t="shared" si="6"/>
        <v>1</v>
      </c>
      <c r="AJ10" s="46">
        <v>5.2</v>
      </c>
      <c r="AK10" s="35">
        <f t="shared" si="7"/>
        <v>1</v>
      </c>
      <c r="AL10" s="46">
        <v>5.2</v>
      </c>
      <c r="AM10" s="35">
        <f t="shared" si="8"/>
        <v>1</v>
      </c>
      <c r="AN10" s="46">
        <v>4.8529</v>
      </c>
      <c r="AO10" s="35">
        <f t="shared" si="9"/>
        <v>0.93324999999999991</v>
      </c>
      <c r="AP10" s="46">
        <v>3.8902999999999999</v>
      </c>
      <c r="AQ10" s="35">
        <f t="shared" si="10"/>
        <v>0.74813461538461534</v>
      </c>
      <c r="AR10" s="46">
        <v>3.2726999999999999</v>
      </c>
      <c r="AS10" s="35">
        <f t="shared" si="11"/>
        <v>0.6293653846153846</v>
      </c>
      <c r="AT10" s="46">
        <v>2.8186</v>
      </c>
      <c r="AU10" s="35">
        <f t="shared" si="12"/>
        <v>0.54203846153846147</v>
      </c>
      <c r="AV10" s="46">
        <v>2.1259999999999999</v>
      </c>
      <c r="AW10" s="35">
        <f t="shared" si="13"/>
        <v>0.4088461538461538</v>
      </c>
      <c r="AX10" s="46">
        <v>1.843</v>
      </c>
      <c r="AY10" s="35">
        <f t="shared" si="14"/>
        <v>0.3544230769230769</v>
      </c>
      <c r="AZ10" s="46">
        <v>1.3149999999999999</v>
      </c>
      <c r="BA10" s="35">
        <f t="shared" si="15"/>
        <v>0.25288461538461537</v>
      </c>
      <c r="BB10" s="46">
        <v>1.1180000000000001</v>
      </c>
      <c r="BC10" s="35">
        <f t="shared" si="16"/>
        <v>0.21500000000000002</v>
      </c>
      <c r="BD10" s="46">
        <v>1.1539999999999999</v>
      </c>
      <c r="BE10" s="35">
        <f t="shared" si="17"/>
        <v>0.22192307692307689</v>
      </c>
      <c r="BF10" s="46">
        <v>1.704</v>
      </c>
      <c r="BG10" s="35">
        <f t="shared" si="18"/>
        <v>0.32769230769230767</v>
      </c>
      <c r="BH10" s="46">
        <v>2.2389999999999999</v>
      </c>
      <c r="BI10" s="35">
        <f t="shared" si="19"/>
        <v>0.43057692307692302</v>
      </c>
      <c r="BJ10" s="46">
        <v>2.9769999999999999</v>
      </c>
      <c r="BK10" s="35">
        <f t="shared" si="20"/>
        <v>0.57250000000000001</v>
      </c>
      <c r="BL10" s="36" t="s">
        <v>42</v>
      </c>
      <c r="BP10" s="50"/>
    </row>
    <row r="11" spans="1:68">
      <c r="A11" s="37" t="s">
        <v>39</v>
      </c>
      <c r="B11" s="38" t="s">
        <v>58</v>
      </c>
      <c r="C11" s="39">
        <v>26</v>
      </c>
      <c r="D11" s="40" t="s">
        <v>59</v>
      </c>
      <c r="E11" s="41">
        <v>5.0999999999999996</v>
      </c>
      <c r="F11" s="42">
        <v>5.0999999999999996</v>
      </c>
      <c r="G11" s="42">
        <v>5.0999999999999996</v>
      </c>
      <c r="H11" s="42">
        <v>5.0999999999999996</v>
      </c>
      <c r="I11" s="42">
        <v>5.0999999999999996</v>
      </c>
      <c r="J11" s="42">
        <v>5.0999999999999996</v>
      </c>
      <c r="K11" s="42">
        <v>5.0999999999999996</v>
      </c>
      <c r="L11" s="43">
        <v>5.0999999999999996</v>
      </c>
      <c r="M11" s="44">
        <v>5.0999999999999996</v>
      </c>
      <c r="N11" s="44">
        <v>5.0999999999999996</v>
      </c>
      <c r="O11" s="45">
        <v>5.0999999999999996</v>
      </c>
      <c r="P11" s="45">
        <v>5.0999999999999996</v>
      </c>
      <c r="Q11" s="45">
        <v>5.0999999999999996</v>
      </c>
      <c r="R11" s="45">
        <v>5.0999999999999996</v>
      </c>
      <c r="S11" s="45">
        <v>5.0999999999999996</v>
      </c>
      <c r="T11" s="46">
        <v>5.0999999999999996</v>
      </c>
      <c r="U11" s="35">
        <f t="shared" si="21"/>
        <v>1</v>
      </c>
      <c r="V11" s="46">
        <v>5.093</v>
      </c>
      <c r="W11" s="35">
        <f t="shared" si="0"/>
        <v>0.99862745098039218</v>
      </c>
      <c r="X11" s="46">
        <v>5.0999999999999996</v>
      </c>
      <c r="Y11" s="35">
        <f t="shared" si="1"/>
        <v>1</v>
      </c>
      <c r="Z11" s="46">
        <v>5.0999999999999996</v>
      </c>
      <c r="AA11" s="35">
        <f t="shared" si="2"/>
        <v>1</v>
      </c>
      <c r="AB11" s="46">
        <v>5.0999999999999996</v>
      </c>
      <c r="AC11" s="35">
        <f t="shared" si="3"/>
        <v>1</v>
      </c>
      <c r="AD11" s="46">
        <v>5.0999999999999996</v>
      </c>
      <c r="AE11" s="35">
        <f t="shared" si="4"/>
        <v>1</v>
      </c>
      <c r="AF11" s="46">
        <v>5.0999999999999996</v>
      </c>
      <c r="AG11" s="35">
        <f t="shared" si="5"/>
        <v>1</v>
      </c>
      <c r="AH11" s="46">
        <v>5.0999999999999996</v>
      </c>
      <c r="AI11" s="35">
        <f t="shared" si="6"/>
        <v>1</v>
      </c>
      <c r="AJ11" s="46">
        <v>5.0999999999999996</v>
      </c>
      <c r="AK11" s="35">
        <f t="shared" si="7"/>
        <v>1</v>
      </c>
      <c r="AL11" s="46">
        <v>5.0945999999999998</v>
      </c>
      <c r="AM11" s="35">
        <f t="shared" si="8"/>
        <v>0.99894117647058822</v>
      </c>
      <c r="AN11" s="46">
        <v>4.8164999999999996</v>
      </c>
      <c r="AO11" s="35">
        <f t="shared" si="9"/>
        <v>0.94441176470588228</v>
      </c>
      <c r="AP11" s="46">
        <v>4.1208</v>
      </c>
      <c r="AQ11" s="35">
        <f t="shared" si="10"/>
        <v>0.80800000000000005</v>
      </c>
      <c r="AR11" s="46">
        <v>3.3832</v>
      </c>
      <c r="AS11" s="35">
        <f t="shared" si="11"/>
        <v>0.66337254901960785</v>
      </c>
      <c r="AT11" s="46">
        <v>3.0188000000000001</v>
      </c>
      <c r="AU11" s="35">
        <f t="shared" si="12"/>
        <v>0.59192156862745104</v>
      </c>
      <c r="AV11" s="46">
        <v>2.246</v>
      </c>
      <c r="AW11" s="35">
        <f t="shared" si="13"/>
        <v>0.44039215686274513</v>
      </c>
      <c r="AX11" s="46">
        <v>2.2879999999999998</v>
      </c>
      <c r="AY11" s="35">
        <f t="shared" si="14"/>
        <v>0.44862745098039214</v>
      </c>
      <c r="AZ11" s="46">
        <v>2.2799999999999998</v>
      </c>
      <c r="BA11" s="35">
        <f t="shared" si="15"/>
        <v>0.44705882352941173</v>
      </c>
      <c r="BB11" s="46">
        <v>2.36</v>
      </c>
      <c r="BC11" s="35">
        <f t="shared" si="16"/>
        <v>0.46274509803921571</v>
      </c>
      <c r="BD11" s="46">
        <v>2.3740000000000001</v>
      </c>
      <c r="BE11" s="35">
        <f t="shared" si="17"/>
        <v>0.46549019607843145</v>
      </c>
      <c r="BF11" s="46">
        <v>2.44</v>
      </c>
      <c r="BG11" s="35">
        <f t="shared" si="18"/>
        <v>0.47843137254901963</v>
      </c>
      <c r="BH11" s="46">
        <v>2.6779999999999999</v>
      </c>
      <c r="BI11" s="35">
        <f t="shared" si="19"/>
        <v>0.52509803921568632</v>
      </c>
      <c r="BJ11" s="46">
        <v>3.1539999999999999</v>
      </c>
      <c r="BK11" s="35">
        <f t="shared" si="20"/>
        <v>0.61843137254901959</v>
      </c>
      <c r="BL11" s="36" t="s">
        <v>42</v>
      </c>
      <c r="BP11" s="50"/>
    </row>
    <row r="12" spans="1:68">
      <c r="A12" s="51" t="s">
        <v>39</v>
      </c>
      <c r="B12" s="52" t="s">
        <v>60</v>
      </c>
      <c r="C12" s="53">
        <v>62</v>
      </c>
      <c r="D12" s="54" t="s">
        <v>61</v>
      </c>
      <c r="E12" s="55"/>
      <c r="F12" s="56"/>
      <c r="G12" s="56"/>
      <c r="H12" s="56"/>
      <c r="I12" s="56"/>
      <c r="J12" s="56"/>
      <c r="K12" s="56"/>
      <c r="L12" s="57"/>
      <c r="M12" s="58"/>
      <c r="N12" s="58"/>
      <c r="O12" s="59"/>
      <c r="P12" s="59"/>
      <c r="Q12" s="59">
        <v>1.2</v>
      </c>
      <c r="R12" s="59">
        <v>1.2</v>
      </c>
      <c r="S12" s="59">
        <v>1.2</v>
      </c>
      <c r="T12" s="60">
        <v>1.2</v>
      </c>
      <c r="U12" s="35">
        <f t="shared" si="21"/>
        <v>1</v>
      </c>
      <c r="V12" s="60">
        <v>1.109</v>
      </c>
      <c r="W12" s="35">
        <f t="shared" si="0"/>
        <v>0.92416666666666669</v>
      </c>
      <c r="X12" s="60">
        <v>1.2</v>
      </c>
      <c r="Y12" s="35">
        <f t="shared" si="1"/>
        <v>1</v>
      </c>
      <c r="Z12" s="60">
        <v>1.2</v>
      </c>
      <c r="AA12" s="35">
        <f t="shared" si="2"/>
        <v>1</v>
      </c>
      <c r="AB12" s="60">
        <v>1.2</v>
      </c>
      <c r="AC12" s="35">
        <f t="shared" si="3"/>
        <v>1</v>
      </c>
      <c r="AD12" s="60">
        <v>1.2</v>
      </c>
      <c r="AE12" s="35">
        <f t="shared" si="4"/>
        <v>1</v>
      </c>
      <c r="AF12" s="60">
        <v>1.2</v>
      </c>
      <c r="AG12" s="35">
        <f t="shared" si="5"/>
        <v>1</v>
      </c>
      <c r="AH12" s="60">
        <v>1.2</v>
      </c>
      <c r="AI12" s="35">
        <f t="shared" si="6"/>
        <v>1</v>
      </c>
      <c r="AJ12" s="60">
        <v>1.2</v>
      </c>
      <c r="AK12" s="35">
        <f t="shared" si="7"/>
        <v>1</v>
      </c>
      <c r="AL12" s="60">
        <v>1.2</v>
      </c>
      <c r="AM12" s="35">
        <f t="shared" si="8"/>
        <v>1</v>
      </c>
      <c r="AN12" s="60">
        <v>1.2</v>
      </c>
      <c r="AO12" s="35">
        <f t="shared" si="9"/>
        <v>1</v>
      </c>
      <c r="AP12" s="60">
        <v>1.1443000000000001</v>
      </c>
      <c r="AQ12" s="35">
        <f t="shared" si="10"/>
        <v>0.95358333333333345</v>
      </c>
      <c r="AR12" s="60">
        <v>1.1178999999999999</v>
      </c>
      <c r="AS12" s="35">
        <f t="shared" si="11"/>
        <v>0.93158333333333332</v>
      </c>
      <c r="AT12" s="60">
        <v>1.0829</v>
      </c>
      <c r="AU12" s="35">
        <f t="shared" si="12"/>
        <v>0.90241666666666664</v>
      </c>
      <c r="AV12" s="60">
        <v>1.0489999999999999</v>
      </c>
      <c r="AW12" s="35">
        <f t="shared" si="13"/>
        <v>0.87416666666666665</v>
      </c>
      <c r="AX12" s="60">
        <v>1.0569999999999999</v>
      </c>
      <c r="AY12" s="35">
        <f t="shared" si="14"/>
        <v>0.88083333333333336</v>
      </c>
      <c r="AZ12" s="60">
        <v>1.04</v>
      </c>
      <c r="BA12" s="35">
        <f t="shared" si="15"/>
        <v>0.8666666666666667</v>
      </c>
      <c r="BB12" s="60">
        <v>1.071</v>
      </c>
      <c r="BC12" s="35">
        <f t="shared" si="16"/>
        <v>0.89249999999999996</v>
      </c>
      <c r="BD12" s="60">
        <v>1.077</v>
      </c>
      <c r="BE12" s="35">
        <f t="shared" si="17"/>
        <v>0.89749999999999996</v>
      </c>
      <c r="BF12" s="60">
        <v>1.0960000000000001</v>
      </c>
      <c r="BG12" s="35">
        <f t="shared" si="18"/>
        <v>0.91333333333333344</v>
      </c>
      <c r="BH12" s="60">
        <v>1.1499999999999999</v>
      </c>
      <c r="BI12" s="35">
        <f t="shared" si="19"/>
        <v>0.95833333333333326</v>
      </c>
      <c r="BJ12" s="60">
        <v>1.2</v>
      </c>
      <c r="BK12" s="35">
        <f t="shared" si="20"/>
        <v>1</v>
      </c>
      <c r="BL12" s="36" t="s">
        <v>42</v>
      </c>
      <c r="BP12" s="50"/>
    </row>
    <row r="13" spans="1:68">
      <c r="A13" s="51" t="s">
        <v>39</v>
      </c>
      <c r="B13" s="52" t="s">
        <v>62</v>
      </c>
      <c r="C13" s="53">
        <v>21</v>
      </c>
      <c r="D13" s="54" t="s">
        <v>63</v>
      </c>
      <c r="E13" s="55">
        <v>2.5</v>
      </c>
      <c r="F13" s="56">
        <v>2.5</v>
      </c>
      <c r="G13" s="56">
        <v>2.5</v>
      </c>
      <c r="H13" s="56">
        <v>2.5</v>
      </c>
      <c r="I13" s="56">
        <v>2.5</v>
      </c>
      <c r="J13" s="56">
        <v>2.5</v>
      </c>
      <c r="K13" s="56">
        <v>2.5</v>
      </c>
      <c r="L13" s="57">
        <v>2.5</v>
      </c>
      <c r="M13" s="58">
        <v>2.5</v>
      </c>
      <c r="N13" s="58">
        <v>2.5</v>
      </c>
      <c r="O13" s="59">
        <v>2.5</v>
      </c>
      <c r="P13" s="59">
        <v>2.5</v>
      </c>
      <c r="Q13" s="59">
        <v>2.5</v>
      </c>
      <c r="R13" s="59">
        <v>2.5</v>
      </c>
      <c r="S13" s="59">
        <v>2.5</v>
      </c>
      <c r="T13" s="60">
        <v>2.5</v>
      </c>
      <c r="U13" s="35">
        <f t="shared" si="21"/>
        <v>1</v>
      </c>
      <c r="V13" s="60">
        <v>2.5</v>
      </c>
      <c r="W13" s="35">
        <f t="shared" si="0"/>
        <v>1</v>
      </c>
      <c r="X13" s="60">
        <v>2.5</v>
      </c>
      <c r="Y13" s="35">
        <f t="shared" si="1"/>
        <v>1</v>
      </c>
      <c r="Z13" s="60">
        <v>2.5</v>
      </c>
      <c r="AA13" s="35">
        <f t="shared" si="2"/>
        <v>1</v>
      </c>
      <c r="AB13" s="60">
        <v>2.5</v>
      </c>
      <c r="AC13" s="35">
        <f t="shared" si="3"/>
        <v>1</v>
      </c>
      <c r="AD13" s="60">
        <v>2.5</v>
      </c>
      <c r="AE13" s="35">
        <f t="shared" si="4"/>
        <v>1</v>
      </c>
      <c r="AF13" s="60">
        <v>2.5</v>
      </c>
      <c r="AG13" s="35">
        <f t="shared" si="5"/>
        <v>1</v>
      </c>
      <c r="AH13" s="60">
        <v>2.5</v>
      </c>
      <c r="AI13" s="35">
        <f t="shared" si="6"/>
        <v>1</v>
      </c>
      <c r="AJ13" s="60">
        <v>2.5</v>
      </c>
      <c r="AK13" s="35">
        <f t="shared" si="7"/>
        <v>1</v>
      </c>
      <c r="AL13" s="60">
        <v>2.5</v>
      </c>
      <c r="AM13" s="35">
        <f t="shared" si="8"/>
        <v>1</v>
      </c>
      <c r="AN13" s="60">
        <v>2.31</v>
      </c>
      <c r="AO13" s="35">
        <f t="shared" si="9"/>
        <v>0.92400000000000004</v>
      </c>
      <c r="AP13" s="60">
        <v>1.8715999999999999</v>
      </c>
      <c r="AQ13" s="35">
        <f t="shared" si="10"/>
        <v>0.74863999999999997</v>
      </c>
      <c r="AR13" s="60">
        <v>1.502</v>
      </c>
      <c r="AS13" s="35">
        <f t="shared" si="11"/>
        <v>0.6008</v>
      </c>
      <c r="AT13" s="60">
        <v>1.1618999999999999</v>
      </c>
      <c r="AU13" s="35">
        <f t="shared" si="12"/>
        <v>0.46475999999999995</v>
      </c>
      <c r="AV13" s="60">
        <v>0.72399999999999998</v>
      </c>
      <c r="AW13" s="35">
        <f t="shared" si="13"/>
        <v>0.28959999999999997</v>
      </c>
      <c r="AX13" s="60">
        <v>0.72699999999999998</v>
      </c>
      <c r="AY13" s="35">
        <f t="shared" si="14"/>
        <v>0.2908</v>
      </c>
      <c r="AZ13" s="60">
        <v>0.70599999999999996</v>
      </c>
      <c r="BA13" s="35">
        <f t="shared" si="15"/>
        <v>0.28239999999999998</v>
      </c>
      <c r="BB13" s="60">
        <v>0.70699999999999996</v>
      </c>
      <c r="BC13" s="35">
        <f t="shared" si="16"/>
        <v>0.2828</v>
      </c>
      <c r="BD13" s="60">
        <v>0.70199999999999996</v>
      </c>
      <c r="BE13" s="35">
        <f t="shared" si="17"/>
        <v>0.28079999999999999</v>
      </c>
      <c r="BF13" s="60">
        <v>0.81599999999999995</v>
      </c>
      <c r="BG13" s="35">
        <f t="shared" si="18"/>
        <v>0.32639999999999997</v>
      </c>
      <c r="BH13" s="60">
        <v>0.86899999999999999</v>
      </c>
      <c r="BI13" s="35">
        <f t="shared" si="19"/>
        <v>0.34760000000000002</v>
      </c>
      <c r="BJ13" s="60">
        <v>1.133</v>
      </c>
      <c r="BK13" s="35">
        <f t="shared" si="20"/>
        <v>0.45319999999999999</v>
      </c>
      <c r="BL13" s="36" t="s">
        <v>42</v>
      </c>
      <c r="BP13" s="50"/>
    </row>
    <row r="14" spans="1:68" s="73" customFormat="1" ht="13.5" customHeight="1" thickBot="1">
      <c r="A14" s="413" t="s">
        <v>64</v>
      </c>
      <c r="B14" s="413"/>
      <c r="C14" s="62"/>
      <c r="D14" s="63"/>
      <c r="E14" s="64">
        <f t="shared" ref="E14:O14" si="22">SUM(E2:E13)</f>
        <v>68.856000000000009</v>
      </c>
      <c r="F14" s="65">
        <f t="shared" si="22"/>
        <v>68.856000000000009</v>
      </c>
      <c r="G14" s="65">
        <f t="shared" si="22"/>
        <v>68.795000000000002</v>
      </c>
      <c r="H14" s="65">
        <f t="shared" si="22"/>
        <v>68.795000000000002</v>
      </c>
      <c r="I14" s="65">
        <f t="shared" si="22"/>
        <v>68.795000000000002</v>
      </c>
      <c r="J14" s="65">
        <f t="shared" si="22"/>
        <v>68.795000000000002</v>
      </c>
      <c r="K14" s="65">
        <f t="shared" si="22"/>
        <v>68.795000000000002</v>
      </c>
      <c r="L14" s="66">
        <f t="shared" si="22"/>
        <v>68.795000000000002</v>
      </c>
      <c r="M14" s="67">
        <f t="shared" si="22"/>
        <v>68.795000000000002</v>
      </c>
      <c r="N14" s="67">
        <f t="shared" si="22"/>
        <v>68.795000000000002</v>
      </c>
      <c r="O14" s="68">
        <f t="shared" si="22"/>
        <v>68.795000000000002</v>
      </c>
      <c r="P14" s="68">
        <v>68.795000000000002</v>
      </c>
      <c r="Q14" s="68">
        <f>SUM(Q2:Q13)</f>
        <v>69.995000000000005</v>
      </c>
      <c r="R14" s="68">
        <f>SUM(R2:R13)</f>
        <v>69.995000000000005</v>
      </c>
      <c r="S14" s="68">
        <f>SUM(S2:S13)</f>
        <v>69.995000000000005</v>
      </c>
      <c r="T14" s="69">
        <f>SUM(T2:T13)</f>
        <v>60.483000000000011</v>
      </c>
      <c r="U14" s="35">
        <f t="shared" si="21"/>
        <v>0.8641045788984929</v>
      </c>
      <c r="V14" s="69">
        <f>SUM(V2:V13)</f>
        <v>61.862000000000002</v>
      </c>
      <c r="W14" s="35">
        <f t="shared" si="0"/>
        <v>0.88380598614186723</v>
      </c>
      <c r="X14" s="69">
        <f>SUM(X2:X13)</f>
        <v>64.036000000000001</v>
      </c>
      <c r="Y14" s="35">
        <f t="shared" si="1"/>
        <v>0.91486534752482318</v>
      </c>
      <c r="Z14" s="69">
        <f>SUM(Z2:Z13)</f>
        <v>66.47</v>
      </c>
      <c r="AA14" s="35">
        <f t="shared" si="2"/>
        <v>0.94963925994713905</v>
      </c>
      <c r="AB14" s="69">
        <f>SUM(AB2:AB13)</f>
        <v>66.744</v>
      </c>
      <c r="AC14" s="35">
        <f t="shared" si="3"/>
        <v>0.95355382527323373</v>
      </c>
      <c r="AD14" s="69">
        <f>SUM(AD2:AD13)</f>
        <v>67.429500000000004</v>
      </c>
      <c r="AE14" s="35">
        <f t="shared" si="4"/>
        <v>0.96334738195585401</v>
      </c>
      <c r="AF14" s="69">
        <f>SUM(AF2:AF13)</f>
        <v>67.412300000000002</v>
      </c>
      <c r="AG14" s="35">
        <f t="shared" si="5"/>
        <v>0.96310165011786553</v>
      </c>
      <c r="AH14" s="69">
        <f>SUM(AH2:AH13)</f>
        <v>67.977800000000002</v>
      </c>
      <c r="AI14" s="35">
        <f t="shared" si="6"/>
        <v>0.9711807986284734</v>
      </c>
      <c r="AJ14" s="69">
        <f>SUM(AJ2:AJ13)</f>
        <v>68.508700000000005</v>
      </c>
      <c r="AK14" s="35">
        <f t="shared" si="7"/>
        <v>0.97876562611615114</v>
      </c>
      <c r="AL14" s="69">
        <f>SUM(AL2:AL13)</f>
        <v>68.357500000000002</v>
      </c>
      <c r="AM14" s="35">
        <f t="shared" si="8"/>
        <v>0.97660547181941559</v>
      </c>
      <c r="AN14" s="69">
        <f>SUM(AN2:AN13)</f>
        <v>65.149899999999988</v>
      </c>
      <c r="AO14" s="35">
        <f t="shared" si="9"/>
        <v>0.93077934138152707</v>
      </c>
      <c r="AP14" s="69">
        <f>SUM(AP2:AP13)</f>
        <v>56.025600000000011</v>
      </c>
      <c r="AQ14" s="35">
        <f t="shared" si="10"/>
        <v>0.8004228873490965</v>
      </c>
      <c r="AR14" s="69">
        <f>SUM(AR2:AR13)</f>
        <v>48.802430000000001</v>
      </c>
      <c r="AS14" s="35">
        <f t="shared" si="11"/>
        <v>0.69722737338381313</v>
      </c>
      <c r="AT14" s="69">
        <f>SUM(AT2:AT13)</f>
        <v>44.50950000000001</v>
      </c>
      <c r="AU14" s="35">
        <f t="shared" si="12"/>
        <v>0.63589542110150732</v>
      </c>
      <c r="AV14" s="69">
        <f>SUM(AV2:AV13)</f>
        <v>37.404999999999994</v>
      </c>
      <c r="AW14" s="35">
        <f t="shared" si="13"/>
        <v>0.53439531395099638</v>
      </c>
      <c r="AX14" s="69">
        <f>SUM(AX2:AX13)</f>
        <v>38.666999999999994</v>
      </c>
      <c r="AY14" s="35">
        <f t="shared" si="14"/>
        <v>0.55242517322665896</v>
      </c>
      <c r="AZ14" s="69">
        <f>SUM(AZ2:AZ13)</f>
        <v>38.971000000000004</v>
      </c>
      <c r="BA14" s="35">
        <f t="shared" si="15"/>
        <v>0.55676834059575686</v>
      </c>
      <c r="BB14" s="69">
        <f>SUM(BB2:BB13)</f>
        <v>39.28</v>
      </c>
      <c r="BC14" s="35">
        <f t="shared" si="16"/>
        <v>0.56118294163868843</v>
      </c>
      <c r="BD14" s="69">
        <f>SUM(BD2:BD13)</f>
        <v>40.633999999999993</v>
      </c>
      <c r="BE14" s="35">
        <f t="shared" si="17"/>
        <v>0.58052718051289365</v>
      </c>
      <c r="BF14" s="69">
        <f>SUM(BF2:BF13)</f>
        <v>46.683999999999997</v>
      </c>
      <c r="BG14" s="35">
        <f t="shared" si="18"/>
        <v>0.66696192585184644</v>
      </c>
      <c r="BH14" s="69">
        <f>SUM(BH2:BH13)</f>
        <v>52.315999999999988</v>
      </c>
      <c r="BI14" s="35">
        <f t="shared" si="19"/>
        <v>0.7474248160582897</v>
      </c>
      <c r="BJ14" s="69">
        <f>SUM(BJ2:BJ13)</f>
        <v>57.747000000000007</v>
      </c>
      <c r="BK14" s="35">
        <f t="shared" si="20"/>
        <v>0.82501607257661269</v>
      </c>
      <c r="BL14" s="71"/>
      <c r="BM14" s="72"/>
      <c r="BP14" s="50"/>
    </row>
    <row r="15" spans="1:68" ht="6.75" customHeight="1" thickBot="1">
      <c r="A15" s="74"/>
      <c r="B15" s="74"/>
      <c r="C15" s="75"/>
      <c r="D15" s="76"/>
      <c r="E15" s="77"/>
      <c r="F15" s="77"/>
      <c r="G15" s="77"/>
      <c r="H15" s="77"/>
      <c r="I15" s="77"/>
      <c r="J15" s="77"/>
      <c r="K15" s="77"/>
      <c r="L15" s="77"/>
      <c r="M15" s="78"/>
      <c r="N15" s="78"/>
      <c r="O15" s="79"/>
      <c r="P15" s="79"/>
      <c r="Q15" s="79"/>
      <c r="R15" s="79"/>
      <c r="S15" s="79"/>
      <c r="T15" s="80"/>
      <c r="U15" s="81"/>
      <c r="V15" s="80"/>
      <c r="W15" s="81"/>
      <c r="X15" s="80"/>
      <c r="Y15" s="81"/>
      <c r="Z15" s="80"/>
      <c r="AA15" s="81"/>
      <c r="AB15" s="80"/>
      <c r="AC15" s="81"/>
      <c r="AD15" s="80"/>
      <c r="AE15" s="81"/>
      <c r="AF15" s="80"/>
      <c r="AG15" s="81"/>
      <c r="AH15" s="80"/>
      <c r="AI15" s="81"/>
      <c r="AJ15" s="80"/>
      <c r="AK15" s="81"/>
      <c r="AL15" s="80"/>
      <c r="AM15" s="81"/>
      <c r="AN15" s="80"/>
      <c r="AO15" s="81"/>
      <c r="AP15" s="80"/>
      <c r="AQ15" s="81"/>
      <c r="AR15" s="80"/>
      <c r="AS15" s="81"/>
      <c r="AT15" s="80"/>
      <c r="AU15" s="81"/>
      <c r="AV15" s="80"/>
      <c r="AW15" s="81"/>
      <c r="AX15" s="80"/>
      <c r="AY15" s="81"/>
      <c r="AZ15" s="80"/>
      <c r="BA15" s="81"/>
      <c r="BB15" s="80"/>
      <c r="BC15" s="81"/>
      <c r="BD15" s="80"/>
      <c r="BE15" s="81"/>
      <c r="BF15" s="80"/>
      <c r="BG15" s="81"/>
      <c r="BH15" s="80"/>
      <c r="BI15" s="81"/>
      <c r="BJ15" s="80"/>
      <c r="BK15" s="81"/>
      <c r="BL15" s="82"/>
      <c r="BP15" s="50"/>
    </row>
    <row r="16" spans="1:68" s="73" customFormat="1" ht="13.5" thickBot="1">
      <c r="A16" s="83" t="s">
        <v>65</v>
      </c>
      <c r="B16" s="84" t="s">
        <v>66</v>
      </c>
      <c r="C16" s="85">
        <v>1</v>
      </c>
      <c r="D16" s="86" t="s">
        <v>65</v>
      </c>
      <c r="E16" s="64">
        <v>24.2</v>
      </c>
      <c r="F16" s="65">
        <v>24.2</v>
      </c>
      <c r="G16" s="65">
        <v>24.2</v>
      </c>
      <c r="H16" s="65">
        <v>24.2</v>
      </c>
      <c r="I16" s="65">
        <v>24.2</v>
      </c>
      <c r="J16" s="65">
        <v>24.2</v>
      </c>
      <c r="K16" s="87">
        <v>21.17</v>
      </c>
      <c r="L16" s="88">
        <v>21.17</v>
      </c>
      <c r="M16" s="89">
        <v>21.17</v>
      </c>
      <c r="N16" s="89">
        <v>21.2</v>
      </c>
      <c r="O16" s="90">
        <v>21.2</v>
      </c>
      <c r="P16" s="90">
        <v>21.2</v>
      </c>
      <c r="Q16" s="90">
        <v>21.2</v>
      </c>
      <c r="R16" s="90">
        <v>21.2</v>
      </c>
      <c r="S16" s="90">
        <v>21.2</v>
      </c>
      <c r="T16" s="91">
        <f>9.33+11.97</f>
        <v>21.3</v>
      </c>
      <c r="U16" s="35">
        <f t="shared" si="21"/>
        <v>1.0047169811320755</v>
      </c>
      <c r="V16" s="91">
        <f>9.35+11.22</f>
        <v>20.57</v>
      </c>
      <c r="W16" s="35">
        <f>V16/$S16</f>
        <v>0.97028301886792456</v>
      </c>
      <c r="X16" s="91">
        <f>9.49+11.97</f>
        <v>21.46</v>
      </c>
      <c r="Y16" s="35">
        <f>X16/$S16</f>
        <v>1.0122641509433963</v>
      </c>
      <c r="Z16" s="91">
        <f>9.51+12.04</f>
        <v>21.549999999999997</v>
      </c>
      <c r="AA16" s="35">
        <f>Z16/$S16</f>
        <v>1.016509433962264</v>
      </c>
      <c r="AB16" s="91">
        <f>9.35+11.3</f>
        <v>20.65</v>
      </c>
      <c r="AC16" s="35">
        <f>AB16/$S16</f>
        <v>0.97405660377358483</v>
      </c>
      <c r="AD16" s="91">
        <f>9.36+11.99</f>
        <v>21.35</v>
      </c>
      <c r="AE16" s="35">
        <f>AD16/$S16</f>
        <v>1.0070754716981134</v>
      </c>
      <c r="AF16" s="91">
        <v>21.25</v>
      </c>
      <c r="AG16" s="35">
        <f>AF16/$S16</f>
        <v>1.0023584905660379</v>
      </c>
      <c r="AH16" s="91">
        <v>21.34</v>
      </c>
      <c r="AI16" s="35">
        <f>AH16/$S16</f>
        <v>1.0066037735849056</v>
      </c>
      <c r="AJ16" s="91">
        <v>21.18</v>
      </c>
      <c r="AK16" s="35">
        <f>AJ16/$S16</f>
        <v>0.99905660377358496</v>
      </c>
      <c r="AL16" s="91">
        <v>21.17</v>
      </c>
      <c r="AM16" s="35">
        <f>AL16/$S16</f>
        <v>0.9985849056603775</v>
      </c>
      <c r="AN16" s="91">
        <v>21.17</v>
      </c>
      <c r="AO16" s="35">
        <f>AN16/$S16</f>
        <v>0.9985849056603775</v>
      </c>
      <c r="AP16" s="91">
        <v>21.08</v>
      </c>
      <c r="AQ16" s="35">
        <f>AP16/$S16</f>
        <v>0.99433962264150944</v>
      </c>
      <c r="AR16" s="91">
        <f>11.72+8.9</f>
        <v>20.62</v>
      </c>
      <c r="AS16" s="35">
        <f>AR16/$S16</f>
        <v>0.97264150943396233</v>
      </c>
      <c r="AT16" s="91">
        <f>11.38+8.85</f>
        <v>20.23</v>
      </c>
      <c r="AU16" s="35">
        <f>AT16/$S16</f>
        <v>0.95424528301886802</v>
      </c>
      <c r="AV16" s="91">
        <f>8.92+10.83</f>
        <v>19.75</v>
      </c>
      <c r="AW16" s="35">
        <f>AV16/$S16</f>
        <v>0.93160377358490565</v>
      </c>
      <c r="AX16" s="91">
        <f>8.93+10.51</f>
        <v>19.439999999999998</v>
      </c>
      <c r="AY16" s="35">
        <f>AX16/$S16</f>
        <v>0.91698113207547161</v>
      </c>
      <c r="AZ16" s="91">
        <f>8.84+10.04</f>
        <v>18.88</v>
      </c>
      <c r="BA16" s="35">
        <f>AZ16/$S16</f>
        <v>0.89056603773584908</v>
      </c>
      <c r="BB16" s="91">
        <f>8.19+9.96</f>
        <v>18.149999999999999</v>
      </c>
      <c r="BC16" s="35">
        <f>BB16/$S16</f>
        <v>0.85613207547169812</v>
      </c>
      <c r="BD16" s="91">
        <f>9.32+9.81</f>
        <v>19.130000000000003</v>
      </c>
      <c r="BE16" s="35">
        <f>BD16/$S16</f>
        <v>0.9023584905660379</v>
      </c>
      <c r="BF16" s="91">
        <f>9.32+9.81</f>
        <v>19.130000000000003</v>
      </c>
      <c r="BG16" s="35">
        <f>BF16/$S16</f>
        <v>0.9023584905660379</v>
      </c>
      <c r="BH16" s="91">
        <f>9.32+9.81</f>
        <v>19.130000000000003</v>
      </c>
      <c r="BI16" s="35">
        <f>BH16/$S16</f>
        <v>0.9023584905660379</v>
      </c>
      <c r="BJ16" s="91">
        <f>9.46+10.33</f>
        <v>19.79</v>
      </c>
      <c r="BK16" s="35">
        <f>BJ16/$S16</f>
        <v>0.93349056603773584</v>
      </c>
      <c r="BL16" s="36" t="s">
        <v>67</v>
      </c>
      <c r="BM16" s="12"/>
      <c r="BP16" s="50"/>
    </row>
    <row r="17" spans="1:68" ht="6.75" customHeight="1" thickBot="1">
      <c r="A17" s="93"/>
      <c r="B17" s="93"/>
      <c r="C17" s="94"/>
      <c r="D17" s="95"/>
      <c r="E17" s="96"/>
      <c r="F17" s="96"/>
      <c r="G17" s="96"/>
      <c r="H17" s="96"/>
      <c r="I17" s="96"/>
      <c r="J17" s="96"/>
      <c r="K17" s="96"/>
      <c r="L17" s="96"/>
      <c r="M17" s="78"/>
      <c r="N17" s="78"/>
      <c r="O17" s="79"/>
      <c r="P17" s="79"/>
      <c r="Q17" s="79"/>
      <c r="R17" s="79"/>
      <c r="S17" s="79"/>
      <c r="T17" s="80"/>
      <c r="U17" s="81"/>
      <c r="V17" s="80"/>
      <c r="W17" s="81"/>
      <c r="X17" s="80"/>
      <c r="Y17" s="81"/>
      <c r="Z17" s="80"/>
      <c r="AA17" s="81"/>
      <c r="AB17" s="80"/>
      <c r="AC17" s="81"/>
      <c r="AD17" s="80"/>
      <c r="AE17" s="81"/>
      <c r="AF17" s="80"/>
      <c r="AG17" s="81"/>
      <c r="AH17" s="80"/>
      <c r="AI17" s="81"/>
      <c r="AJ17" s="80"/>
      <c r="AK17" s="81"/>
      <c r="AL17" s="80"/>
      <c r="AM17" s="81"/>
      <c r="AN17" s="80"/>
      <c r="AO17" s="81"/>
      <c r="AP17" s="80"/>
      <c r="AQ17" s="81"/>
      <c r="AR17" s="80"/>
      <c r="AS17" s="81"/>
      <c r="AT17" s="80"/>
      <c r="AU17" s="81"/>
      <c r="AV17" s="80"/>
      <c r="AW17" s="81"/>
      <c r="AX17" s="80"/>
      <c r="AY17" s="81"/>
      <c r="AZ17" s="80"/>
      <c r="BA17" s="81"/>
      <c r="BB17" s="80"/>
      <c r="BC17" s="81"/>
      <c r="BD17" s="80"/>
      <c r="BE17" s="81"/>
      <c r="BF17" s="80"/>
      <c r="BG17" s="81"/>
      <c r="BH17" s="80"/>
      <c r="BI17" s="81"/>
      <c r="BJ17" s="80"/>
      <c r="BK17" s="81"/>
      <c r="BL17" s="82"/>
      <c r="BP17" s="50"/>
    </row>
    <row r="18" spans="1:68" s="73" customFormat="1" ht="13.5" thickBot="1">
      <c r="A18" s="97" t="s">
        <v>68</v>
      </c>
      <c r="B18" s="38" t="s">
        <v>69</v>
      </c>
      <c r="C18" s="39">
        <v>2</v>
      </c>
      <c r="D18" s="98" t="s">
        <v>70</v>
      </c>
      <c r="E18" s="65">
        <v>5</v>
      </c>
      <c r="F18" s="65">
        <v>5</v>
      </c>
      <c r="G18" s="65">
        <v>5</v>
      </c>
      <c r="H18" s="65">
        <v>5</v>
      </c>
      <c r="I18" s="65">
        <v>5</v>
      </c>
      <c r="J18" s="65">
        <v>5</v>
      </c>
      <c r="K18" s="65">
        <v>5</v>
      </c>
      <c r="L18" s="66">
        <v>5</v>
      </c>
      <c r="M18" s="99">
        <v>5</v>
      </c>
      <c r="N18" s="99">
        <v>4.9524999999999997</v>
      </c>
      <c r="O18" s="100">
        <v>4.9524999999999997</v>
      </c>
      <c r="P18" s="100">
        <v>4.9524999999999997</v>
      </c>
      <c r="Q18" s="100">
        <v>4.9524999999999997</v>
      </c>
      <c r="R18" s="100">
        <v>4.9524999999999997</v>
      </c>
      <c r="S18" s="382">
        <v>4.992</v>
      </c>
      <c r="T18" s="91">
        <v>4.992</v>
      </c>
      <c r="U18" s="35">
        <f t="shared" si="21"/>
        <v>1</v>
      </c>
      <c r="V18" s="91">
        <v>5.01</v>
      </c>
      <c r="W18" s="35">
        <f>V18/$S18</f>
        <v>1.0036057692307692</v>
      </c>
      <c r="X18" s="91">
        <v>5.0599999999999996</v>
      </c>
      <c r="Y18" s="35">
        <f>X18/$S18</f>
        <v>1.0136217948717947</v>
      </c>
      <c r="Z18" s="91">
        <v>5.0149999999999997</v>
      </c>
      <c r="AA18" s="35">
        <f>Z18/$S18</f>
        <v>1.0046073717948718</v>
      </c>
      <c r="AB18" s="91">
        <v>4.9660000000000002</v>
      </c>
      <c r="AC18" s="35">
        <f>AB18/$S18</f>
        <v>0.99479166666666674</v>
      </c>
      <c r="AD18" s="91">
        <v>4.9910880000000004</v>
      </c>
      <c r="AE18" s="35">
        <f>AD18/$S18</f>
        <v>0.99981730769230781</v>
      </c>
      <c r="AF18" s="91">
        <v>4.9841280000000001</v>
      </c>
      <c r="AG18" s="35">
        <f>AF18/$S18</f>
        <v>0.99842307692307697</v>
      </c>
      <c r="AH18" s="91">
        <v>4.9910880000000004</v>
      </c>
      <c r="AI18" s="35">
        <f>AH18/$S18</f>
        <v>0.99981730769230781</v>
      </c>
      <c r="AJ18" s="91">
        <v>4.974272</v>
      </c>
      <c r="AK18" s="35">
        <f>AJ18/$S18</f>
        <v>0.99644871794871792</v>
      </c>
      <c r="AL18" s="91">
        <v>4.9523289999999998</v>
      </c>
      <c r="AM18" s="35">
        <f>AL18/$S18</f>
        <v>0.99205308493589739</v>
      </c>
      <c r="AN18" s="91">
        <v>4.9523289999999998</v>
      </c>
      <c r="AO18" s="35">
        <f>AN18/$S18</f>
        <v>0.99205308493589739</v>
      </c>
      <c r="AP18" s="91">
        <v>4.9523289999999998</v>
      </c>
      <c r="AQ18" s="35">
        <f>AP18/$S18</f>
        <v>0.99205308493589739</v>
      </c>
      <c r="AR18" s="91">
        <v>4.9464160000000001</v>
      </c>
      <c r="AS18" s="35">
        <f>AR18/$S18</f>
        <v>0.99086858974358982</v>
      </c>
      <c r="AT18" s="91">
        <v>4.7321119999999999</v>
      </c>
      <c r="AU18" s="35">
        <f>AT18/$S18</f>
        <v>0.94793910256410252</v>
      </c>
      <c r="AV18" s="91">
        <v>4.5069999999999997</v>
      </c>
      <c r="AW18" s="35">
        <f>AV18/$S18</f>
        <v>0.90284455128205121</v>
      </c>
      <c r="AX18" s="91">
        <v>4.3</v>
      </c>
      <c r="AY18" s="35">
        <f>AX18/$S18</f>
        <v>0.86137820512820507</v>
      </c>
      <c r="AZ18" s="91">
        <v>4.5830000000000002</v>
      </c>
      <c r="BA18" s="35">
        <f>AZ18/$S18</f>
        <v>0.91806891025641024</v>
      </c>
      <c r="BB18" s="91">
        <v>4.7510000000000003</v>
      </c>
      <c r="BC18" s="35">
        <f>BB18/$S18</f>
        <v>0.9517227564102565</v>
      </c>
      <c r="BD18" s="91">
        <v>4.9477760000000002</v>
      </c>
      <c r="BE18" s="35">
        <f>BD18/$S18</f>
        <v>0.99114102564102569</v>
      </c>
      <c r="BF18" s="91">
        <v>5.0156049999999999</v>
      </c>
      <c r="BG18" s="35">
        <f>BF18/$S18</f>
        <v>1.0047285657051281</v>
      </c>
      <c r="BH18" s="91">
        <v>4.9523289999999998</v>
      </c>
      <c r="BI18" s="35">
        <f>BH18/$S18</f>
        <v>0.99205308493589739</v>
      </c>
      <c r="BJ18" s="91">
        <v>4.9523289999999998</v>
      </c>
      <c r="BK18" s="35">
        <f>BJ18/$S18</f>
        <v>0.99205308493589739</v>
      </c>
      <c r="BL18" s="101" t="s">
        <v>71</v>
      </c>
      <c r="BM18" s="72"/>
      <c r="BP18" s="50"/>
    </row>
    <row r="19" spans="1:68" ht="25.5" customHeight="1" thickBot="1">
      <c r="A19" s="102"/>
      <c r="B19" s="102"/>
      <c r="C19" s="103"/>
      <c r="D19" s="104"/>
      <c r="E19" s="96"/>
      <c r="F19" s="96"/>
      <c r="G19" s="96"/>
      <c r="H19" s="96"/>
      <c r="I19" s="96"/>
      <c r="J19" s="96"/>
      <c r="K19" s="96"/>
      <c r="L19" s="105"/>
      <c r="M19" s="106"/>
      <c r="N19" s="106"/>
      <c r="O19" s="107"/>
      <c r="P19" s="107"/>
      <c r="Q19" s="107"/>
      <c r="R19" s="107"/>
      <c r="S19" s="107"/>
      <c r="T19" s="80"/>
      <c r="U19" s="81"/>
      <c r="V19" s="80"/>
      <c r="W19" s="81"/>
      <c r="X19" s="80"/>
      <c r="Y19" s="81"/>
      <c r="Z19" s="80"/>
      <c r="AA19" s="81"/>
      <c r="AB19" s="80"/>
      <c r="AC19" s="81"/>
      <c r="AD19" s="80"/>
      <c r="AE19" s="81"/>
      <c r="AF19" s="80"/>
      <c r="AG19" s="81"/>
      <c r="AH19" s="80"/>
      <c r="AI19" s="81"/>
      <c r="AJ19" s="80"/>
      <c r="AK19" s="81"/>
      <c r="AL19" s="80"/>
      <c r="AM19" s="81"/>
      <c r="AN19" s="80"/>
      <c r="AO19" s="81"/>
      <c r="AP19" s="80"/>
      <c r="AQ19" s="81"/>
      <c r="AR19" s="80"/>
      <c r="AS19" s="81"/>
      <c r="AT19" s="80"/>
      <c r="AU19" s="81"/>
      <c r="AV19" s="80"/>
      <c r="AW19" s="81"/>
      <c r="AX19" s="80"/>
      <c r="AY19" s="81"/>
      <c r="AZ19" s="80"/>
      <c r="BA19" s="81"/>
      <c r="BB19" s="80"/>
      <c r="BC19" s="81"/>
      <c r="BD19" s="80"/>
      <c r="BE19" s="81"/>
      <c r="BF19" s="80"/>
      <c r="BG19" s="81"/>
      <c r="BH19" s="80"/>
      <c r="BI19" s="81"/>
      <c r="BJ19" s="80"/>
      <c r="BK19" s="81"/>
      <c r="BL19" s="82"/>
      <c r="BP19" s="50"/>
    </row>
    <row r="20" spans="1:68">
      <c r="A20" s="38" t="s">
        <v>72</v>
      </c>
      <c r="B20" s="38" t="s">
        <v>73</v>
      </c>
      <c r="C20" s="39">
        <v>9</v>
      </c>
      <c r="D20" s="98" t="s">
        <v>74</v>
      </c>
      <c r="E20" s="42">
        <v>2</v>
      </c>
      <c r="F20" s="42">
        <v>2</v>
      </c>
      <c r="G20" s="42">
        <v>2</v>
      </c>
      <c r="H20" s="42">
        <v>2</v>
      </c>
      <c r="I20" s="42">
        <v>2</v>
      </c>
      <c r="J20" s="42">
        <v>2</v>
      </c>
      <c r="K20" s="108">
        <v>2</v>
      </c>
      <c r="L20" s="109">
        <v>2</v>
      </c>
      <c r="M20" s="110">
        <v>2</v>
      </c>
      <c r="N20" s="110">
        <v>2</v>
      </c>
      <c r="O20" s="111">
        <v>2</v>
      </c>
      <c r="P20" s="111">
        <v>2</v>
      </c>
      <c r="Q20" s="111">
        <v>2</v>
      </c>
      <c r="R20" s="111">
        <v>2</v>
      </c>
      <c r="S20" s="111">
        <v>2</v>
      </c>
      <c r="T20" s="112">
        <v>0.51600000000000001</v>
      </c>
      <c r="U20" s="35">
        <f t="shared" si="21"/>
        <v>0.25800000000000001</v>
      </c>
      <c r="V20" s="112">
        <v>0.61</v>
      </c>
      <c r="W20" s="35">
        <f t="shared" ref="W20:W31" si="23">V20/$S20</f>
        <v>0.30499999999999999</v>
      </c>
      <c r="X20" s="112">
        <v>0.89700000000000002</v>
      </c>
      <c r="Y20" s="35">
        <f t="shared" ref="Y20:Y31" si="24">X20/$S20</f>
        <v>0.44850000000000001</v>
      </c>
      <c r="Z20" s="112">
        <v>1.0269999999999999</v>
      </c>
      <c r="AA20" s="35">
        <f t="shared" ref="AA20:AA31" si="25">Z20/$S20</f>
        <v>0.51349999999999996</v>
      </c>
      <c r="AB20" s="112">
        <v>0.89700000000000002</v>
      </c>
      <c r="AC20" s="35">
        <f t="shared" ref="AC20:AC31" si="26">AB20/$S20</f>
        <v>0.44850000000000001</v>
      </c>
      <c r="AD20" s="112">
        <v>0.873</v>
      </c>
      <c r="AE20" s="35">
        <f t="shared" ref="AE20:AE31" si="27">AD20/$S20</f>
        <v>0.4365</v>
      </c>
      <c r="AF20" s="112">
        <v>0.82699999999999996</v>
      </c>
      <c r="AG20" s="35">
        <f t="shared" ref="AG20:AG31" si="28">AF20/$S20</f>
        <v>0.41349999999999998</v>
      </c>
      <c r="AH20" s="112">
        <v>0.78600000000000003</v>
      </c>
      <c r="AI20" s="35">
        <f>AH20/$S20</f>
        <v>0.39300000000000002</v>
      </c>
      <c r="AJ20" s="112">
        <v>0.79</v>
      </c>
      <c r="AK20" s="35">
        <f t="shared" ref="AK20:AK31" si="29">AJ20/$S20</f>
        <v>0.39500000000000002</v>
      </c>
      <c r="AL20" s="112">
        <v>0.74</v>
      </c>
      <c r="AM20" s="35">
        <f t="shared" ref="AM20:AM31" si="30">AL20/$S20</f>
        <v>0.37</v>
      </c>
      <c r="AN20" s="112">
        <v>0.76400000000000001</v>
      </c>
      <c r="AO20" s="35">
        <f t="shared" ref="AO20:AO31" si="31">AN20/$S20</f>
        <v>0.38200000000000001</v>
      </c>
      <c r="AP20" s="112">
        <v>0.76400000000000001</v>
      </c>
      <c r="AQ20" s="35">
        <f t="shared" ref="AQ20:AQ31" si="32">AP20/$S20</f>
        <v>0.38200000000000001</v>
      </c>
      <c r="AR20" s="112">
        <v>0.60399999999999998</v>
      </c>
      <c r="AS20" s="35">
        <f t="shared" ref="AS20:AS31" si="33">AR20/$S20</f>
        <v>0.30199999999999999</v>
      </c>
      <c r="AT20" s="112">
        <v>0.61899999999999999</v>
      </c>
      <c r="AU20" s="35">
        <f t="shared" ref="AU20:AU31" si="34">AT20/$S20</f>
        <v>0.3095</v>
      </c>
      <c r="AV20" s="112">
        <v>0.61099999999999999</v>
      </c>
      <c r="AW20" s="35">
        <f t="shared" ref="AW20:AW31" si="35">AV20/$S20</f>
        <v>0.30549999999999999</v>
      </c>
      <c r="AX20" s="112">
        <v>0.57599999999999996</v>
      </c>
      <c r="AY20" s="35">
        <f t="shared" ref="AY20:AY31" si="36">AX20/$S20</f>
        <v>0.28799999999999998</v>
      </c>
      <c r="AZ20" s="112">
        <v>0.57299999999999995</v>
      </c>
      <c r="BA20" s="35">
        <f t="shared" ref="BA20:BA31" si="37">AZ20/$S20</f>
        <v>0.28649999999999998</v>
      </c>
      <c r="BB20" s="112">
        <v>0.56299999999999994</v>
      </c>
      <c r="BC20" s="35">
        <f t="shared" ref="BC20:BC31" si="38">BB20/$S20</f>
        <v>0.28149999999999997</v>
      </c>
      <c r="BD20" s="112">
        <v>0.56100000000000005</v>
      </c>
      <c r="BE20" s="35">
        <f t="shared" ref="BE20:BE31" si="39">BD20/$S20</f>
        <v>0.28050000000000003</v>
      </c>
      <c r="BF20" s="112">
        <v>0.627</v>
      </c>
      <c r="BG20" s="35">
        <f t="shared" ref="BG20:BG31" si="40">BF20/$S20</f>
        <v>0.3135</v>
      </c>
      <c r="BH20" s="112">
        <v>0.629</v>
      </c>
      <c r="BI20" s="35">
        <f t="shared" ref="BI20:BI31" si="41">BH20/$S20</f>
        <v>0.3145</v>
      </c>
      <c r="BJ20" s="112">
        <v>0.56299999999999994</v>
      </c>
      <c r="BK20" s="35">
        <f t="shared" ref="BK20:BK31" si="42">BJ20/$S20</f>
        <v>0.28149999999999997</v>
      </c>
      <c r="BL20" s="36" t="s">
        <v>75</v>
      </c>
      <c r="BP20" s="50"/>
    </row>
    <row r="21" spans="1:68" ht="12" customHeight="1">
      <c r="A21" s="38" t="s">
        <v>72</v>
      </c>
      <c r="B21" s="38" t="s">
        <v>76</v>
      </c>
      <c r="C21" s="39">
        <v>23</v>
      </c>
      <c r="D21" s="98" t="s">
        <v>77</v>
      </c>
      <c r="E21" s="42">
        <v>3</v>
      </c>
      <c r="F21" s="42">
        <v>3</v>
      </c>
      <c r="G21" s="42">
        <v>3</v>
      </c>
      <c r="H21" s="42">
        <v>3</v>
      </c>
      <c r="I21" s="42">
        <v>3</v>
      </c>
      <c r="J21" s="42">
        <v>3</v>
      </c>
      <c r="K21" s="108">
        <v>3</v>
      </c>
      <c r="L21" s="109">
        <v>3</v>
      </c>
      <c r="M21" s="115">
        <v>3.45</v>
      </c>
      <c r="N21" s="115">
        <v>3.41</v>
      </c>
      <c r="O21" s="116">
        <v>3.41</v>
      </c>
      <c r="P21" s="116">
        <v>3.41</v>
      </c>
      <c r="Q21" s="116">
        <v>3.41</v>
      </c>
      <c r="R21" s="116">
        <v>3.41</v>
      </c>
      <c r="S21" s="116">
        <v>3.41</v>
      </c>
      <c r="T21" s="46">
        <v>3.41</v>
      </c>
      <c r="U21" s="35">
        <f t="shared" si="21"/>
        <v>1</v>
      </c>
      <c r="V21" s="46">
        <v>3.36</v>
      </c>
      <c r="W21" s="35">
        <f t="shared" si="23"/>
        <v>0.98533724340175943</v>
      </c>
      <c r="X21" s="46">
        <v>3.41</v>
      </c>
      <c r="Y21" s="35">
        <f t="shared" si="24"/>
        <v>1</v>
      </c>
      <c r="Z21" s="46">
        <v>3.41</v>
      </c>
      <c r="AA21" s="35">
        <f t="shared" si="25"/>
        <v>1</v>
      </c>
      <c r="AB21" s="46">
        <v>3.41</v>
      </c>
      <c r="AC21" s="35">
        <f t="shared" si="26"/>
        <v>1</v>
      </c>
      <c r="AD21" s="46">
        <v>3.4072</v>
      </c>
      <c r="AE21" s="35">
        <f t="shared" si="27"/>
        <v>0.9991788856304985</v>
      </c>
      <c r="AF21" s="46">
        <v>3.37</v>
      </c>
      <c r="AG21" s="35">
        <f t="shared" si="28"/>
        <v>0.98826979472140764</v>
      </c>
      <c r="AH21" s="46">
        <v>3.41</v>
      </c>
      <c r="AI21" s="35">
        <f>AH21/$S21</f>
        <v>1</v>
      </c>
      <c r="AJ21" s="46">
        <v>3.41</v>
      </c>
      <c r="AK21" s="35">
        <f t="shared" si="29"/>
        <v>1</v>
      </c>
      <c r="AL21" s="46">
        <v>3.41</v>
      </c>
      <c r="AM21" s="35">
        <f t="shared" si="30"/>
        <v>1</v>
      </c>
      <c r="AN21" s="46">
        <v>3.41</v>
      </c>
      <c r="AO21" s="35">
        <f t="shared" si="31"/>
        <v>1</v>
      </c>
      <c r="AP21" s="46">
        <v>3.41</v>
      </c>
      <c r="AQ21" s="35">
        <f t="shared" si="32"/>
        <v>1</v>
      </c>
      <c r="AR21" s="46">
        <v>3.3006000000000002</v>
      </c>
      <c r="AS21" s="35">
        <f t="shared" si="33"/>
        <v>0.96791788856304983</v>
      </c>
      <c r="AT21" s="46">
        <v>3.0152999999999999</v>
      </c>
      <c r="AU21" s="35">
        <f t="shared" si="34"/>
        <v>0.88425219941348965</v>
      </c>
      <c r="AV21">
        <v>2.8039999999999998</v>
      </c>
      <c r="AW21" s="35">
        <f t="shared" si="35"/>
        <v>0.82228739002932538</v>
      </c>
      <c r="AX21" s="46">
        <v>2.7909999999999999</v>
      </c>
      <c r="AY21" s="35">
        <f t="shared" si="36"/>
        <v>0.81847507331378289</v>
      </c>
      <c r="AZ21" s="46">
        <v>2.7730000000000001</v>
      </c>
      <c r="BA21" s="35">
        <f t="shared" si="37"/>
        <v>0.81319648093841645</v>
      </c>
      <c r="BB21" s="46">
        <v>2.7810000000000001</v>
      </c>
      <c r="BC21" s="35">
        <f t="shared" si="38"/>
        <v>0.81554252199413491</v>
      </c>
      <c r="BD21" s="46">
        <v>2.7730000000000001</v>
      </c>
      <c r="BE21" s="35">
        <f t="shared" si="39"/>
        <v>0.81319648093841645</v>
      </c>
      <c r="BF21" s="46">
        <v>3.077</v>
      </c>
      <c r="BG21" s="35">
        <f t="shared" si="40"/>
        <v>0.90234604105571847</v>
      </c>
      <c r="BH21" s="46">
        <v>3.1139999999999999</v>
      </c>
      <c r="BI21" s="35">
        <f t="shared" si="41"/>
        <v>0.91319648093841632</v>
      </c>
      <c r="BJ21" s="46">
        <v>3.1389999999999998</v>
      </c>
      <c r="BK21" s="35">
        <f t="shared" si="42"/>
        <v>0.92052785923753655</v>
      </c>
      <c r="BL21" s="36" t="s">
        <v>42</v>
      </c>
      <c r="BP21" s="50"/>
    </row>
    <row r="22" spans="1:68">
      <c r="A22" s="38" t="s">
        <v>72</v>
      </c>
      <c r="B22" s="38" t="s">
        <v>78</v>
      </c>
      <c r="C22" s="39">
        <v>13</v>
      </c>
      <c r="D22" s="98" t="s">
        <v>79</v>
      </c>
      <c r="E22" s="42">
        <v>2.1</v>
      </c>
      <c r="F22" s="42">
        <v>2.1</v>
      </c>
      <c r="G22" s="42">
        <v>2.1</v>
      </c>
      <c r="H22" s="42">
        <v>2.1</v>
      </c>
      <c r="I22" s="42">
        <v>2.1</v>
      </c>
      <c r="J22" s="42">
        <v>2.1</v>
      </c>
      <c r="K22" s="108">
        <v>2.1</v>
      </c>
      <c r="L22" s="109">
        <v>2.1</v>
      </c>
      <c r="M22" s="115">
        <v>2.1</v>
      </c>
      <c r="N22" s="115">
        <v>2.1</v>
      </c>
      <c r="O22" s="116">
        <v>2.1</v>
      </c>
      <c r="P22" s="116">
        <v>2.1</v>
      </c>
      <c r="Q22" s="116">
        <v>2.1</v>
      </c>
      <c r="R22" s="116">
        <v>2.1</v>
      </c>
      <c r="S22" s="116">
        <v>2.1</v>
      </c>
      <c r="T22" s="46">
        <v>0.90600000000000003</v>
      </c>
      <c r="U22" s="35">
        <f t="shared" si="21"/>
        <v>0.43142857142857144</v>
      </c>
      <c r="V22" s="46">
        <v>0.93200000000000005</v>
      </c>
      <c r="W22" s="35">
        <f t="shared" si="23"/>
        <v>0.44380952380952382</v>
      </c>
      <c r="X22" s="46">
        <v>1.06</v>
      </c>
      <c r="Y22" s="35">
        <f t="shared" si="24"/>
        <v>0.50476190476190474</v>
      </c>
      <c r="Z22" s="46">
        <v>1.2370000000000001</v>
      </c>
      <c r="AA22" s="35">
        <f t="shared" si="25"/>
        <v>0.58904761904761904</v>
      </c>
      <c r="AB22" s="46">
        <v>1.276</v>
      </c>
      <c r="AC22" s="35">
        <f t="shared" si="26"/>
        <v>0.60761904761904761</v>
      </c>
      <c r="AD22" s="46">
        <v>1.3029999999999999</v>
      </c>
      <c r="AE22" s="35">
        <f t="shared" si="27"/>
        <v>0.6204761904761904</v>
      </c>
      <c r="AF22" s="46">
        <v>1.288</v>
      </c>
      <c r="AG22" s="35">
        <f t="shared" si="28"/>
        <v>0.61333333333333329</v>
      </c>
      <c r="AH22" s="46">
        <v>1.27</v>
      </c>
      <c r="AI22" s="35">
        <f t="shared" ref="AI22:AI31" si="43">AH22/$S22</f>
        <v>0.60476190476190472</v>
      </c>
      <c r="AJ22" s="46">
        <v>1.254999</v>
      </c>
      <c r="AK22" s="35">
        <f t="shared" si="29"/>
        <v>0.59761857142857144</v>
      </c>
      <c r="AL22" s="46">
        <v>1.2250000000000001</v>
      </c>
      <c r="AM22" s="35">
        <f t="shared" si="30"/>
        <v>0.58333333333333337</v>
      </c>
      <c r="AN22" s="46">
        <v>1.198</v>
      </c>
      <c r="AO22" s="35">
        <f t="shared" si="31"/>
        <v>0.57047619047619047</v>
      </c>
      <c r="AP22" s="46">
        <v>1.1573599999999999</v>
      </c>
      <c r="AQ22" s="35">
        <f t="shared" si="32"/>
        <v>0.55112380952380946</v>
      </c>
      <c r="AR22" s="46">
        <v>1.1117999999999999</v>
      </c>
      <c r="AS22" s="35">
        <f t="shared" si="33"/>
        <v>0.52942857142857136</v>
      </c>
      <c r="AT22" s="46">
        <v>1.0918190000000001</v>
      </c>
      <c r="AU22" s="35">
        <f t="shared" si="34"/>
        <v>0.5199138095238095</v>
      </c>
      <c r="AV22" s="46">
        <v>1.0229999999999999</v>
      </c>
      <c r="AW22" s="35">
        <f t="shared" si="35"/>
        <v>0.4871428571428571</v>
      </c>
      <c r="AX22" s="46">
        <v>1.0009999999999999</v>
      </c>
      <c r="AY22" s="35">
        <f t="shared" si="36"/>
        <v>0.47666666666666657</v>
      </c>
      <c r="AZ22" s="46">
        <v>0.996</v>
      </c>
      <c r="BA22" s="35">
        <f t="shared" si="37"/>
        <v>0.47428571428571425</v>
      </c>
      <c r="BB22" s="46">
        <v>0.98499999999999999</v>
      </c>
      <c r="BC22" s="35">
        <f>BB22/$S22</f>
        <v>0.46904761904761905</v>
      </c>
      <c r="BD22" s="46">
        <v>0.96</v>
      </c>
      <c r="BE22" s="35">
        <f t="shared" si="39"/>
        <v>0.45714285714285713</v>
      </c>
      <c r="BF22" s="46">
        <v>0.98</v>
      </c>
      <c r="BG22" s="35">
        <f t="shared" si="40"/>
        <v>0.46666666666666662</v>
      </c>
      <c r="BH22" s="46">
        <v>0.999</v>
      </c>
      <c r="BI22" s="35">
        <f t="shared" si="41"/>
        <v>0.4757142857142857</v>
      </c>
      <c r="BJ22" s="46">
        <v>0.99890000000000001</v>
      </c>
      <c r="BK22" s="35">
        <f t="shared" si="42"/>
        <v>0.47566666666666663</v>
      </c>
      <c r="BL22" s="117" t="s">
        <v>80</v>
      </c>
    </row>
    <row r="23" spans="1:68">
      <c r="A23" s="38" t="s">
        <v>72</v>
      </c>
      <c r="B23" s="38" t="s">
        <v>81</v>
      </c>
      <c r="C23" s="39">
        <v>14</v>
      </c>
      <c r="D23" s="98" t="s">
        <v>82</v>
      </c>
      <c r="E23" s="42">
        <v>4.93</v>
      </c>
      <c r="F23" s="42">
        <v>4.93</v>
      </c>
      <c r="G23" s="42">
        <v>4.93</v>
      </c>
      <c r="H23" s="42">
        <v>4.93</v>
      </c>
      <c r="I23" s="42">
        <v>4.93</v>
      </c>
      <c r="J23" s="42">
        <v>4.93</v>
      </c>
      <c r="K23" s="108">
        <v>4.93</v>
      </c>
      <c r="L23" s="109">
        <v>4.93</v>
      </c>
      <c r="M23" s="115">
        <v>4.93</v>
      </c>
      <c r="N23" s="115">
        <v>4.93</v>
      </c>
      <c r="O23" s="116">
        <v>4.93</v>
      </c>
      <c r="P23" s="116">
        <v>4.93</v>
      </c>
      <c r="Q23" s="116">
        <v>4.93</v>
      </c>
      <c r="R23" s="116">
        <v>4.93</v>
      </c>
      <c r="S23" s="116">
        <v>4.93</v>
      </c>
      <c r="T23" s="46">
        <v>2.81</v>
      </c>
      <c r="U23" s="35">
        <f t="shared" si="21"/>
        <v>0.56997971602434083</v>
      </c>
      <c r="V23" s="46">
        <v>2.88</v>
      </c>
      <c r="W23" s="35">
        <f t="shared" si="23"/>
        <v>0.58417849898580121</v>
      </c>
      <c r="X23" s="46">
        <v>3.11</v>
      </c>
      <c r="Y23" s="35">
        <f t="shared" si="24"/>
        <v>0.63083164300202843</v>
      </c>
      <c r="Z23" s="46">
        <v>3.27</v>
      </c>
      <c r="AA23" s="35">
        <f t="shared" si="25"/>
        <v>0.66328600405679516</v>
      </c>
      <c r="AB23" s="46">
        <v>4.17</v>
      </c>
      <c r="AC23" s="35">
        <f t="shared" si="26"/>
        <v>0.84584178498985807</v>
      </c>
      <c r="AD23" s="46">
        <v>4.71</v>
      </c>
      <c r="AE23" s="35">
        <f t="shared" si="27"/>
        <v>0.95537525354969577</v>
      </c>
      <c r="AF23" s="46">
        <v>4.79</v>
      </c>
      <c r="AG23" s="35">
        <f t="shared" si="28"/>
        <v>0.97160243407707914</v>
      </c>
      <c r="AH23" s="46">
        <v>4.87</v>
      </c>
      <c r="AI23" s="35">
        <f t="shared" si="43"/>
        <v>0.9878296146044625</v>
      </c>
      <c r="AJ23" s="46">
        <v>4.93</v>
      </c>
      <c r="AK23" s="35">
        <f t="shared" si="29"/>
        <v>1</v>
      </c>
      <c r="AL23" s="46">
        <v>4.93</v>
      </c>
      <c r="AM23" s="35">
        <f t="shared" si="30"/>
        <v>1</v>
      </c>
      <c r="AN23" s="46">
        <v>4.91</v>
      </c>
      <c r="AO23" s="35">
        <f t="shared" si="31"/>
        <v>0.99594320486815424</v>
      </c>
      <c r="AP23" s="46">
        <v>4.92</v>
      </c>
      <c r="AQ23" s="35">
        <f t="shared" si="32"/>
        <v>0.99797160243407712</v>
      </c>
      <c r="AR23" s="46">
        <v>4.8600000000000003</v>
      </c>
      <c r="AS23" s="35">
        <f t="shared" si="33"/>
        <v>0.98580121703853962</v>
      </c>
      <c r="AT23" s="46">
        <v>4.8499999999999996</v>
      </c>
      <c r="AU23" s="35">
        <f t="shared" si="34"/>
        <v>0.98377281947261663</v>
      </c>
      <c r="AV23">
        <v>4.87</v>
      </c>
      <c r="AW23" s="35">
        <f t="shared" si="35"/>
        <v>0.9878296146044625</v>
      </c>
      <c r="AX23" s="46">
        <v>4.91</v>
      </c>
      <c r="AY23" s="35">
        <f t="shared" si="36"/>
        <v>0.99594320486815424</v>
      </c>
      <c r="AZ23" s="46">
        <v>4.9000000000000004</v>
      </c>
      <c r="BA23" s="35">
        <f t="shared" si="37"/>
        <v>0.99391480730223136</v>
      </c>
      <c r="BB23" s="46">
        <v>4.9000000000000004</v>
      </c>
      <c r="BC23" s="35">
        <f t="shared" si="38"/>
        <v>0.99391480730223136</v>
      </c>
      <c r="BD23">
        <v>4.91</v>
      </c>
      <c r="BE23" s="35">
        <f t="shared" si="39"/>
        <v>0.99594320486815424</v>
      </c>
      <c r="BF23" s="46">
        <v>4.93</v>
      </c>
      <c r="BG23" s="35">
        <f t="shared" si="40"/>
        <v>1</v>
      </c>
      <c r="BH23" s="46">
        <v>4.93</v>
      </c>
      <c r="BI23" s="35">
        <f t="shared" si="41"/>
        <v>1</v>
      </c>
      <c r="BJ23" s="46">
        <v>4.91</v>
      </c>
      <c r="BK23" s="35">
        <f t="shared" si="42"/>
        <v>0.99594320486815424</v>
      </c>
      <c r="BL23" s="36" t="s">
        <v>83</v>
      </c>
    </row>
    <row r="24" spans="1:68">
      <c r="A24" s="38" t="s">
        <v>72</v>
      </c>
      <c r="B24" s="38" t="s">
        <v>84</v>
      </c>
      <c r="C24" s="39">
        <v>42</v>
      </c>
      <c r="D24" s="98" t="s">
        <v>85</v>
      </c>
      <c r="E24" s="42">
        <v>33.76</v>
      </c>
      <c r="F24" s="42">
        <v>47.3</v>
      </c>
      <c r="G24" s="42">
        <v>44.6</v>
      </c>
      <c r="H24" s="42">
        <v>44.6</v>
      </c>
      <c r="I24" s="42">
        <v>44.6</v>
      </c>
      <c r="J24" s="42">
        <v>44.6</v>
      </c>
      <c r="K24" s="108">
        <v>44.6</v>
      </c>
      <c r="L24" s="109">
        <v>44.6</v>
      </c>
      <c r="M24" s="115">
        <v>44.6</v>
      </c>
      <c r="N24" s="115">
        <v>44.6</v>
      </c>
      <c r="O24" s="116">
        <v>44.6</v>
      </c>
      <c r="P24" s="116">
        <v>44.6</v>
      </c>
      <c r="Q24" s="116">
        <v>44.6</v>
      </c>
      <c r="R24" s="116">
        <v>44.6</v>
      </c>
      <c r="S24" s="116">
        <v>44.6</v>
      </c>
      <c r="T24" s="46">
        <v>17.917999999999999</v>
      </c>
      <c r="U24" s="35">
        <f t="shared" si="21"/>
        <v>0.40174887892376676</v>
      </c>
      <c r="V24" s="46">
        <v>20.350000000000001</v>
      </c>
      <c r="W24" s="35">
        <f t="shared" si="23"/>
        <v>0.45627802690582964</v>
      </c>
      <c r="X24" s="46">
        <v>20.72</v>
      </c>
      <c r="Y24" s="35">
        <f t="shared" si="24"/>
        <v>0.46457399103139008</v>
      </c>
      <c r="Z24" s="46">
        <v>25</v>
      </c>
      <c r="AA24" s="35">
        <f t="shared" si="25"/>
        <v>0.5605381165919282</v>
      </c>
      <c r="AB24" s="46">
        <v>25.093</v>
      </c>
      <c r="AC24" s="35">
        <f t="shared" si="26"/>
        <v>0.56262331838565016</v>
      </c>
      <c r="AD24" s="46">
        <v>28.216999999999999</v>
      </c>
      <c r="AE24" s="35">
        <f t="shared" si="27"/>
        <v>0.63266816143497751</v>
      </c>
      <c r="AF24" s="46">
        <v>29.056000000000001</v>
      </c>
      <c r="AG24" s="35">
        <f t="shared" si="28"/>
        <v>0.65147982062780274</v>
      </c>
      <c r="AH24" s="46">
        <v>29.634</v>
      </c>
      <c r="AI24" s="35">
        <f t="shared" si="43"/>
        <v>0.66443946188340808</v>
      </c>
      <c r="AJ24" s="46">
        <v>29.692</v>
      </c>
      <c r="AK24" s="35">
        <f t="shared" si="29"/>
        <v>0.66573991031390134</v>
      </c>
      <c r="AL24" s="46">
        <v>29.606000000000002</v>
      </c>
      <c r="AM24" s="35">
        <f t="shared" si="30"/>
        <v>0.66381165919282514</v>
      </c>
      <c r="AN24" s="46">
        <v>28.68</v>
      </c>
      <c r="AO24" s="35">
        <f t="shared" si="31"/>
        <v>0.64304932735426001</v>
      </c>
      <c r="AP24" s="46">
        <v>26.626000000000001</v>
      </c>
      <c r="AQ24" s="35">
        <f t="shared" si="32"/>
        <v>0.59699551569506726</v>
      </c>
      <c r="AR24" s="46">
        <v>25.353999999999999</v>
      </c>
      <c r="AS24" s="35">
        <f t="shared" si="33"/>
        <v>0.56847533632286995</v>
      </c>
      <c r="AT24" s="46">
        <v>24.890999999999998</v>
      </c>
      <c r="AU24" s="35">
        <f t="shared" si="34"/>
        <v>0.55809417040358744</v>
      </c>
      <c r="AV24" s="46">
        <v>23.247</v>
      </c>
      <c r="AW24" s="35">
        <f t="shared" si="35"/>
        <v>0.52123318385650219</v>
      </c>
      <c r="AX24" s="46">
        <v>22.776</v>
      </c>
      <c r="AY24" s="35">
        <f t="shared" si="36"/>
        <v>0.51067264573991034</v>
      </c>
      <c r="AZ24" s="46">
        <v>21.908999999999999</v>
      </c>
      <c r="BA24" s="35">
        <f t="shared" si="37"/>
        <v>0.49123318385650222</v>
      </c>
      <c r="BB24">
        <v>21.24</v>
      </c>
      <c r="BC24" s="35">
        <f t="shared" si="38"/>
        <v>0.47623318385650221</v>
      </c>
      <c r="BD24" s="46">
        <v>20.076000000000001</v>
      </c>
      <c r="BE24" s="35">
        <f t="shared" si="39"/>
        <v>0.45013452914798208</v>
      </c>
      <c r="BF24" s="46">
        <v>19.827999999999999</v>
      </c>
      <c r="BG24" s="35">
        <f t="shared" si="40"/>
        <v>0.44457399103139011</v>
      </c>
      <c r="BH24" s="46">
        <v>19.55</v>
      </c>
      <c r="BI24" s="35">
        <f t="shared" si="41"/>
        <v>0.43834080717488788</v>
      </c>
      <c r="BJ24" s="46">
        <v>21.536999999999999</v>
      </c>
      <c r="BK24" s="35">
        <f t="shared" si="42"/>
        <v>0.48289237668161433</v>
      </c>
      <c r="BL24" s="101" t="s">
        <v>86</v>
      </c>
      <c r="BM24" s="118"/>
    </row>
    <row r="25" spans="1:68">
      <c r="A25" s="38" t="s">
        <v>72</v>
      </c>
      <c r="B25" s="38" t="s">
        <v>87</v>
      </c>
      <c r="C25" s="39">
        <v>30</v>
      </c>
      <c r="D25" s="98" t="s">
        <v>79</v>
      </c>
      <c r="E25" s="42">
        <v>4</v>
      </c>
      <c r="F25" s="42">
        <v>4</v>
      </c>
      <c r="G25" s="42">
        <v>4</v>
      </c>
      <c r="H25" s="42">
        <v>4</v>
      </c>
      <c r="I25" s="42">
        <v>4</v>
      </c>
      <c r="J25" s="42">
        <v>4</v>
      </c>
      <c r="K25" s="108">
        <v>4</v>
      </c>
      <c r="L25" s="109">
        <v>4</v>
      </c>
      <c r="M25" s="115">
        <v>4.0999999999999996</v>
      </c>
      <c r="N25" s="115">
        <v>4.0999999999999996</v>
      </c>
      <c r="O25" s="116">
        <v>4.0999999999999996</v>
      </c>
      <c r="P25" s="116">
        <v>4.0999999999999996</v>
      </c>
      <c r="Q25" s="116">
        <v>4.0999999999999996</v>
      </c>
      <c r="R25" s="116">
        <v>4.0999999999999996</v>
      </c>
      <c r="S25" s="116">
        <v>4.0999999999999996</v>
      </c>
      <c r="T25" s="46">
        <v>1.7549999999999999</v>
      </c>
      <c r="U25" s="35">
        <f t="shared" si="21"/>
        <v>0.42804878048780487</v>
      </c>
      <c r="V25" s="46">
        <v>2.0569999999999999</v>
      </c>
      <c r="W25" s="35">
        <f t="shared" si="23"/>
        <v>0.50170731707317073</v>
      </c>
      <c r="X25" s="46">
        <v>3.1</v>
      </c>
      <c r="Y25" s="35">
        <f t="shared" si="24"/>
        <v>0.75609756097560987</v>
      </c>
      <c r="Z25" s="46">
        <v>3.734</v>
      </c>
      <c r="AA25" s="35">
        <f t="shared" si="25"/>
        <v>0.9107317073170732</v>
      </c>
      <c r="AB25" s="46">
        <v>3.8290000000000002</v>
      </c>
      <c r="AC25" s="35">
        <f t="shared" si="26"/>
        <v>0.93390243902439041</v>
      </c>
      <c r="AD25" s="46">
        <v>4</v>
      </c>
      <c r="AE25" s="35">
        <f t="shared" si="27"/>
        <v>0.97560975609756106</v>
      </c>
      <c r="AF25" s="46">
        <v>4</v>
      </c>
      <c r="AG25" s="35">
        <f t="shared" si="28"/>
        <v>0.97560975609756106</v>
      </c>
      <c r="AH25" s="46">
        <v>4</v>
      </c>
      <c r="AI25" s="35">
        <f t="shared" si="43"/>
        <v>0.97560975609756106</v>
      </c>
      <c r="AJ25" s="46">
        <v>4</v>
      </c>
      <c r="AK25" s="35">
        <f t="shared" si="29"/>
        <v>0.97560975609756106</v>
      </c>
      <c r="AL25" s="46">
        <v>3.8346</v>
      </c>
      <c r="AM25" s="35">
        <f t="shared" si="30"/>
        <v>0.93526829268292688</v>
      </c>
      <c r="AN25" s="46">
        <v>3.6025</v>
      </c>
      <c r="AO25" s="35">
        <f t="shared" si="31"/>
        <v>0.87865853658536597</v>
      </c>
      <c r="AP25" s="46">
        <v>3.3976250000000001</v>
      </c>
      <c r="AQ25" s="35">
        <f t="shared" si="32"/>
        <v>0.82868902439024406</v>
      </c>
      <c r="AR25" s="46">
        <v>2.6707190000000001</v>
      </c>
      <c r="AS25" s="35">
        <f t="shared" si="33"/>
        <v>0.6513948780487806</v>
      </c>
      <c r="AT25" s="46">
        <v>2.9779900000000001</v>
      </c>
      <c r="AU25" s="35">
        <f t="shared" si="34"/>
        <v>0.726339024390244</v>
      </c>
      <c r="AV25" s="46">
        <v>2.6150000000000002</v>
      </c>
      <c r="AW25" s="35">
        <f t="shared" si="35"/>
        <v>0.63780487804878061</v>
      </c>
      <c r="AX25" s="46">
        <v>2.617</v>
      </c>
      <c r="AY25" s="35">
        <f t="shared" si="36"/>
        <v>0.63829268292682928</v>
      </c>
      <c r="AZ25" s="46">
        <v>2.6120000000000001</v>
      </c>
      <c r="BA25" s="35">
        <f t="shared" si="37"/>
        <v>0.63707317073170744</v>
      </c>
      <c r="BB25" s="46">
        <v>2.609</v>
      </c>
      <c r="BC25" s="35">
        <f t="shared" si="38"/>
        <v>0.63634146341463416</v>
      </c>
      <c r="BD25" s="46">
        <v>2.61</v>
      </c>
      <c r="BE25" s="35">
        <f t="shared" si="39"/>
        <v>0.63658536585365855</v>
      </c>
      <c r="BF25" s="46">
        <v>2.69</v>
      </c>
      <c r="BG25" s="35">
        <f t="shared" si="40"/>
        <v>0.65609756097560978</v>
      </c>
      <c r="BH25" s="46">
        <v>3.0950000000000002</v>
      </c>
      <c r="BI25" s="35">
        <f t="shared" si="41"/>
        <v>0.75487804878048792</v>
      </c>
      <c r="BJ25" s="399">
        <v>3.1</v>
      </c>
      <c r="BK25" s="35">
        <f t="shared" si="42"/>
        <v>0.75609756097560987</v>
      </c>
      <c r="BL25" s="117" t="s">
        <v>80</v>
      </c>
    </row>
    <row r="26" spans="1:68">
      <c r="A26" s="38" t="s">
        <v>72</v>
      </c>
      <c r="B26" s="38" t="s">
        <v>88</v>
      </c>
      <c r="C26" s="39">
        <v>11</v>
      </c>
      <c r="D26" s="98" t="s">
        <v>74</v>
      </c>
      <c r="E26" s="42">
        <v>1.87</v>
      </c>
      <c r="F26" s="42">
        <v>1.87</v>
      </c>
      <c r="G26" s="42">
        <v>1.87</v>
      </c>
      <c r="H26" s="42">
        <v>1.87</v>
      </c>
      <c r="I26" s="42">
        <v>1.87</v>
      </c>
      <c r="J26" s="42">
        <v>1.87</v>
      </c>
      <c r="K26" s="108">
        <v>1.87</v>
      </c>
      <c r="L26" s="109">
        <v>1.87</v>
      </c>
      <c r="M26" s="115">
        <v>1.87</v>
      </c>
      <c r="N26" s="115">
        <v>1.87</v>
      </c>
      <c r="O26" s="116">
        <v>1.87</v>
      </c>
      <c r="P26" s="116">
        <v>1.87</v>
      </c>
      <c r="Q26" s="116">
        <v>1.87</v>
      </c>
      <c r="R26" s="116">
        <v>1.87</v>
      </c>
      <c r="S26" s="116">
        <v>1.87</v>
      </c>
      <c r="T26" s="46">
        <v>0.82299999999999995</v>
      </c>
      <c r="U26" s="35">
        <f t="shared" si="21"/>
        <v>0.44010695187165771</v>
      </c>
      <c r="V26" s="46">
        <v>0.93</v>
      </c>
      <c r="W26" s="35">
        <f t="shared" si="23"/>
        <v>0.49732620320855614</v>
      </c>
      <c r="X26" s="46">
        <v>1.3</v>
      </c>
      <c r="Y26" s="35">
        <f t="shared" si="24"/>
        <v>0.69518716577540107</v>
      </c>
      <c r="Z26" s="46">
        <v>1.39</v>
      </c>
      <c r="AA26" s="35">
        <f t="shared" si="25"/>
        <v>0.74331550802139024</v>
      </c>
      <c r="AB26" s="46">
        <v>1.448</v>
      </c>
      <c r="AC26" s="35">
        <f t="shared" si="26"/>
        <v>0.774331550802139</v>
      </c>
      <c r="AD26" s="46">
        <v>1.6839999999999999</v>
      </c>
      <c r="AE26" s="35">
        <f t="shared" si="27"/>
        <v>0.90053475935828864</v>
      </c>
      <c r="AF26" s="46">
        <v>1.6842999999999999</v>
      </c>
      <c r="AG26" s="35">
        <f t="shared" si="28"/>
        <v>0.90069518716577535</v>
      </c>
      <c r="AH26" s="46">
        <v>1.6879999999999999</v>
      </c>
      <c r="AI26" s="35">
        <f t="shared" si="43"/>
        <v>0.90267379679144377</v>
      </c>
      <c r="AJ26" s="46">
        <v>1.7</v>
      </c>
      <c r="AK26" s="35">
        <f t="shared" si="29"/>
        <v>0.90909090909090906</v>
      </c>
      <c r="AL26" s="46">
        <v>1.7050000000000001</v>
      </c>
      <c r="AM26" s="35">
        <f t="shared" si="30"/>
        <v>0.91176470588235292</v>
      </c>
      <c r="AN26" s="46">
        <v>1.6870000000000001</v>
      </c>
      <c r="AO26" s="35">
        <f t="shared" si="31"/>
        <v>0.90213903743315504</v>
      </c>
      <c r="AP26" s="46">
        <v>1.665</v>
      </c>
      <c r="AQ26" s="35">
        <f t="shared" si="32"/>
        <v>0.89037433155080214</v>
      </c>
      <c r="AR26" s="46">
        <v>1.6220000000000001</v>
      </c>
      <c r="AS26" s="35">
        <f t="shared" si="33"/>
        <v>0.86737967914438507</v>
      </c>
      <c r="AT26" s="46">
        <v>1.5940000000000001</v>
      </c>
      <c r="AU26" s="35">
        <f t="shared" si="34"/>
        <v>0.85240641711229947</v>
      </c>
      <c r="AV26" s="46">
        <v>1.5780000000000001</v>
      </c>
      <c r="AW26" s="35">
        <f t="shared" si="35"/>
        <v>0.84385026737967916</v>
      </c>
      <c r="AX26" s="46">
        <v>1.58</v>
      </c>
      <c r="AY26" s="35">
        <f t="shared" si="36"/>
        <v>0.84491978609625662</v>
      </c>
      <c r="AZ26" s="46">
        <v>1.5720000000000001</v>
      </c>
      <c r="BA26" s="35">
        <f t="shared" si="37"/>
        <v>0.84064171122994646</v>
      </c>
      <c r="BB26" s="46">
        <v>1.5660000000000001</v>
      </c>
      <c r="BC26" s="35">
        <f t="shared" si="38"/>
        <v>0.83743315508021388</v>
      </c>
      <c r="BD26" s="46">
        <v>1.5669999999999999</v>
      </c>
      <c r="BE26" s="35">
        <f t="shared" si="39"/>
        <v>0.8379679144385026</v>
      </c>
      <c r="BF26" s="46">
        <v>1.627</v>
      </c>
      <c r="BG26" s="35">
        <f t="shared" si="40"/>
        <v>0.87005347593582882</v>
      </c>
      <c r="BH26" s="46">
        <v>1.6359999999999999</v>
      </c>
      <c r="BI26" s="35">
        <f t="shared" si="41"/>
        <v>0.87486631016042771</v>
      </c>
      <c r="BJ26" s="46">
        <v>1.84</v>
      </c>
      <c r="BK26" s="35">
        <f t="shared" si="42"/>
        <v>0.98395721925133683</v>
      </c>
      <c r="BL26" s="36" t="s">
        <v>75</v>
      </c>
    </row>
    <row r="27" spans="1:68">
      <c r="A27" s="38" t="s">
        <v>72</v>
      </c>
      <c r="B27" s="38" t="s">
        <v>89</v>
      </c>
      <c r="C27" s="39">
        <v>24</v>
      </c>
      <c r="D27" s="98" t="s">
        <v>77</v>
      </c>
      <c r="E27" s="42">
        <v>8</v>
      </c>
      <c r="F27" s="42">
        <v>8</v>
      </c>
      <c r="G27" s="42">
        <v>8</v>
      </c>
      <c r="H27" s="42">
        <v>8</v>
      </c>
      <c r="I27" s="42">
        <v>8</v>
      </c>
      <c r="J27" s="42">
        <v>8</v>
      </c>
      <c r="K27" s="108">
        <v>8</v>
      </c>
      <c r="L27" s="109">
        <v>8</v>
      </c>
      <c r="M27" s="115">
        <v>8</v>
      </c>
      <c r="N27" s="115">
        <v>8</v>
      </c>
      <c r="O27" s="116">
        <v>8</v>
      </c>
      <c r="P27" s="116">
        <v>8</v>
      </c>
      <c r="Q27" s="116">
        <v>8</v>
      </c>
      <c r="R27" s="116">
        <v>8</v>
      </c>
      <c r="S27" s="116">
        <v>8</v>
      </c>
      <c r="T27" s="46">
        <v>8</v>
      </c>
      <c r="U27" s="35">
        <f t="shared" si="21"/>
        <v>1</v>
      </c>
      <c r="V27" s="46">
        <v>7.7880000000000003</v>
      </c>
      <c r="W27" s="35">
        <f t="shared" si="23"/>
        <v>0.97350000000000003</v>
      </c>
      <c r="X27" s="46">
        <v>8</v>
      </c>
      <c r="Y27" s="35">
        <f t="shared" si="24"/>
        <v>1</v>
      </c>
      <c r="Z27" s="46">
        <v>8</v>
      </c>
      <c r="AA27" s="35">
        <f t="shared" si="25"/>
        <v>1</v>
      </c>
      <c r="AB27" s="46">
        <v>8</v>
      </c>
      <c r="AC27" s="35">
        <f t="shared" si="26"/>
        <v>1</v>
      </c>
      <c r="AD27" s="46">
        <v>7.9580000000000002</v>
      </c>
      <c r="AE27" s="35">
        <f t="shared" si="27"/>
        <v>0.99475000000000002</v>
      </c>
      <c r="AF27" s="46">
        <v>7.9375999999999998</v>
      </c>
      <c r="AG27" s="35">
        <f t="shared" si="28"/>
        <v>0.99219999999999997</v>
      </c>
      <c r="AH27" s="46">
        <v>7.9617000000000004</v>
      </c>
      <c r="AI27" s="35">
        <f t="shared" si="43"/>
        <v>0.99521250000000006</v>
      </c>
      <c r="AJ27" s="46">
        <v>7.9375999999999998</v>
      </c>
      <c r="AK27" s="35">
        <f t="shared" si="29"/>
        <v>0.99219999999999997</v>
      </c>
      <c r="AL27" s="46">
        <v>7.9063999999999997</v>
      </c>
      <c r="AM27" s="35">
        <f t="shared" si="30"/>
        <v>0.98829999999999996</v>
      </c>
      <c r="AN27" s="46">
        <v>7.8762999999999996</v>
      </c>
      <c r="AO27" s="35">
        <f t="shared" si="31"/>
        <v>0.98453749999999995</v>
      </c>
      <c r="AP27" s="46">
        <v>7.4577999999999998</v>
      </c>
      <c r="AQ27" s="35">
        <f t="shared" si="32"/>
        <v>0.93222499999999997</v>
      </c>
      <c r="AR27" s="46">
        <v>6.7572000000000001</v>
      </c>
      <c r="AS27" s="35">
        <f t="shared" si="33"/>
        <v>0.84465000000000001</v>
      </c>
      <c r="AT27" s="46">
        <v>5.9744999999999999</v>
      </c>
      <c r="AU27" s="35">
        <f t="shared" si="34"/>
        <v>0.74681249999999999</v>
      </c>
      <c r="AV27" s="46">
        <v>5.2</v>
      </c>
      <c r="AW27" s="35">
        <f t="shared" si="35"/>
        <v>0.65</v>
      </c>
      <c r="AX27" s="46">
        <v>5.1920000000000002</v>
      </c>
      <c r="AY27" s="35">
        <f t="shared" si="36"/>
        <v>0.64900000000000002</v>
      </c>
      <c r="AZ27" s="46">
        <v>5.1189999999999998</v>
      </c>
      <c r="BA27" s="35">
        <f t="shared" si="37"/>
        <v>0.63987499999999997</v>
      </c>
      <c r="BB27" s="46">
        <v>5.1710000000000003</v>
      </c>
      <c r="BC27" s="35">
        <f t="shared" si="38"/>
        <v>0.64637500000000003</v>
      </c>
      <c r="BD27" s="46">
        <v>5.16</v>
      </c>
      <c r="BE27" s="35">
        <f t="shared" si="39"/>
        <v>0.64500000000000002</v>
      </c>
      <c r="BF27" s="46">
        <v>5.6630000000000003</v>
      </c>
      <c r="BG27" s="35">
        <f t="shared" si="40"/>
        <v>0.70787500000000003</v>
      </c>
      <c r="BH27" s="46">
        <v>6.1130000000000004</v>
      </c>
      <c r="BI27" s="35">
        <f t="shared" si="41"/>
        <v>0.76412500000000005</v>
      </c>
      <c r="BJ27" s="46">
        <v>6.7770000000000001</v>
      </c>
      <c r="BK27" s="35">
        <f t="shared" si="42"/>
        <v>0.84712500000000002</v>
      </c>
      <c r="BL27" s="36" t="s">
        <v>42</v>
      </c>
    </row>
    <row r="28" spans="1:68">
      <c r="A28" s="38" t="s">
        <v>72</v>
      </c>
      <c r="B28" s="38" t="s">
        <v>90</v>
      </c>
      <c r="C28" s="39">
        <v>12</v>
      </c>
      <c r="D28" s="98" t="s">
        <v>91</v>
      </c>
      <c r="E28" s="42">
        <v>4</v>
      </c>
      <c r="F28" s="42">
        <v>4</v>
      </c>
      <c r="G28" s="42">
        <v>4</v>
      </c>
      <c r="H28" s="42">
        <v>4</v>
      </c>
      <c r="I28" s="42">
        <v>4</v>
      </c>
      <c r="J28" s="42">
        <v>4</v>
      </c>
      <c r="K28" s="108">
        <v>4</v>
      </c>
      <c r="L28" s="109">
        <v>4</v>
      </c>
      <c r="M28" s="115">
        <v>4</v>
      </c>
      <c r="N28" s="115">
        <v>4</v>
      </c>
      <c r="O28" s="116">
        <v>4</v>
      </c>
      <c r="P28" s="116">
        <v>4</v>
      </c>
      <c r="Q28" s="116">
        <v>4</v>
      </c>
      <c r="R28" s="116">
        <v>4</v>
      </c>
      <c r="S28" s="116">
        <v>4</v>
      </c>
      <c r="T28" s="46">
        <v>1.47</v>
      </c>
      <c r="U28" s="35">
        <f t="shared" si="21"/>
        <v>0.36749999999999999</v>
      </c>
      <c r="V28" s="46">
        <v>1.6379999999999999</v>
      </c>
      <c r="W28" s="35">
        <f t="shared" si="23"/>
        <v>0.40949999999999998</v>
      </c>
      <c r="X28" s="46">
        <v>2.2000000000000002</v>
      </c>
      <c r="Y28" s="35">
        <f t="shared" si="24"/>
        <v>0.55000000000000004</v>
      </c>
      <c r="Z28" s="46">
        <v>2.57</v>
      </c>
      <c r="AA28" s="35">
        <f t="shared" si="25"/>
        <v>0.64249999999999996</v>
      </c>
      <c r="AB28" s="46">
        <v>2.63</v>
      </c>
      <c r="AC28" s="35">
        <f t="shared" si="26"/>
        <v>0.65749999999999997</v>
      </c>
      <c r="AD28" s="46">
        <v>3.05</v>
      </c>
      <c r="AE28" s="35">
        <f t="shared" si="27"/>
        <v>0.76249999999999996</v>
      </c>
      <c r="AF28" s="46">
        <v>3.05</v>
      </c>
      <c r="AG28" s="35">
        <f t="shared" si="28"/>
        <v>0.76249999999999996</v>
      </c>
      <c r="AH28" s="46">
        <v>3.05</v>
      </c>
      <c r="AI28" s="35">
        <f t="shared" si="43"/>
        <v>0.76249999999999996</v>
      </c>
      <c r="AJ28" s="46">
        <v>3</v>
      </c>
      <c r="AK28" s="35">
        <f t="shared" si="29"/>
        <v>0.75</v>
      </c>
      <c r="AL28" s="46">
        <v>2.9</v>
      </c>
      <c r="AM28" s="35">
        <f t="shared" si="30"/>
        <v>0.72499999999999998</v>
      </c>
      <c r="AN28" s="46">
        <v>2.5499999999999998</v>
      </c>
      <c r="AO28" s="35">
        <f t="shared" si="31"/>
        <v>0.63749999999999996</v>
      </c>
      <c r="AP28" s="46">
        <v>2.02</v>
      </c>
      <c r="AQ28" s="35">
        <f t="shared" si="32"/>
        <v>0.505</v>
      </c>
      <c r="AR28" s="46">
        <v>1.79</v>
      </c>
      <c r="AS28" s="35">
        <f t="shared" si="33"/>
        <v>0.44750000000000001</v>
      </c>
      <c r="AT28" s="46">
        <v>1.76</v>
      </c>
      <c r="AU28" s="35">
        <f t="shared" si="34"/>
        <v>0.44</v>
      </c>
      <c r="AV28" s="46">
        <v>1.74</v>
      </c>
      <c r="AW28" s="35">
        <f t="shared" si="35"/>
        <v>0.435</v>
      </c>
      <c r="AX28" s="46">
        <v>1.8680000000000001</v>
      </c>
      <c r="AY28" s="35">
        <f t="shared" si="36"/>
        <v>0.46700000000000003</v>
      </c>
      <c r="AZ28" s="46">
        <v>1.9</v>
      </c>
      <c r="BA28" s="35">
        <f t="shared" si="37"/>
        <v>0.47499999999999998</v>
      </c>
      <c r="BB28" s="46">
        <v>1.9</v>
      </c>
      <c r="BC28" s="35">
        <f t="shared" si="38"/>
        <v>0.47499999999999998</v>
      </c>
      <c r="BD28" s="46">
        <v>1.95</v>
      </c>
      <c r="BE28" s="35">
        <f t="shared" si="39"/>
        <v>0.48749999999999999</v>
      </c>
      <c r="BF28" s="46">
        <v>2.06</v>
      </c>
      <c r="BG28" s="35">
        <f t="shared" si="40"/>
        <v>0.51500000000000001</v>
      </c>
      <c r="BH28" s="46">
        <v>2.2000000000000002</v>
      </c>
      <c r="BI28" s="35">
        <f t="shared" si="41"/>
        <v>0.55000000000000004</v>
      </c>
      <c r="BJ28" s="46">
        <v>2.56</v>
      </c>
      <c r="BK28" s="35">
        <f t="shared" si="42"/>
        <v>0.64</v>
      </c>
      <c r="BL28" s="36" t="s">
        <v>92</v>
      </c>
      <c r="BM28" s="119"/>
    </row>
    <row r="29" spans="1:68">
      <c r="A29" s="38" t="s">
        <v>72</v>
      </c>
      <c r="B29" s="38" t="s">
        <v>93</v>
      </c>
      <c r="C29" s="39">
        <v>38</v>
      </c>
      <c r="D29" s="98" t="s">
        <v>94</v>
      </c>
      <c r="E29" s="42">
        <v>60</v>
      </c>
      <c r="F29" s="42">
        <v>60</v>
      </c>
      <c r="G29" s="42">
        <v>60</v>
      </c>
      <c r="H29" s="42">
        <v>60</v>
      </c>
      <c r="I29" s="42">
        <v>60</v>
      </c>
      <c r="J29" s="42">
        <v>60</v>
      </c>
      <c r="K29" s="108">
        <v>60</v>
      </c>
      <c r="L29" s="109">
        <v>60</v>
      </c>
      <c r="M29" s="115">
        <v>60</v>
      </c>
      <c r="N29" s="115">
        <v>60</v>
      </c>
      <c r="O29" s="116">
        <v>60.57</v>
      </c>
      <c r="P29" s="116">
        <v>60.57</v>
      </c>
      <c r="Q29" s="116">
        <v>60.57</v>
      </c>
      <c r="R29" s="116">
        <v>60.57</v>
      </c>
      <c r="S29" s="116">
        <v>60.57</v>
      </c>
      <c r="T29">
        <v>16.260000000000002</v>
      </c>
      <c r="U29" s="35">
        <f t="shared" si="21"/>
        <v>0.26844972758791485</v>
      </c>
      <c r="V29" s="120">
        <v>18.32</v>
      </c>
      <c r="W29" s="35">
        <f t="shared" si="23"/>
        <v>0.30245996367838862</v>
      </c>
      <c r="X29" s="120">
        <v>22</v>
      </c>
      <c r="Y29" s="35">
        <f t="shared" si="24"/>
        <v>0.3632161135875846</v>
      </c>
      <c r="Z29" s="120">
        <v>30.36</v>
      </c>
      <c r="AA29" s="35">
        <f t="shared" si="25"/>
        <v>0.50123823675086676</v>
      </c>
      <c r="AB29" s="120">
        <v>32.76</v>
      </c>
      <c r="AC29" s="35">
        <f t="shared" si="26"/>
        <v>0.54086181277860323</v>
      </c>
      <c r="AD29" s="120">
        <v>40</v>
      </c>
      <c r="AE29" s="35">
        <f t="shared" si="27"/>
        <v>0.66039293379560837</v>
      </c>
      <c r="AF29" s="120">
        <v>40.549999999999997</v>
      </c>
      <c r="AG29" s="35">
        <f t="shared" si="28"/>
        <v>0.66947333663529796</v>
      </c>
      <c r="AH29" s="120">
        <v>40.86</v>
      </c>
      <c r="AI29" s="35">
        <f t="shared" si="43"/>
        <v>0.6745913818722139</v>
      </c>
      <c r="AJ29" s="120">
        <v>40.909999999999997</v>
      </c>
      <c r="AK29" s="35">
        <f t="shared" si="29"/>
        <v>0.67541687303945841</v>
      </c>
      <c r="AL29" s="120">
        <v>40.72</v>
      </c>
      <c r="AM29" s="35">
        <f t="shared" si="30"/>
        <v>0.67228000660392928</v>
      </c>
      <c r="AN29" s="120">
        <v>39.11</v>
      </c>
      <c r="AO29" s="35">
        <f t="shared" si="31"/>
        <v>0.64569919101865614</v>
      </c>
      <c r="AP29" s="120">
        <v>34.83</v>
      </c>
      <c r="AQ29" s="35">
        <f t="shared" si="32"/>
        <v>0.57503714710252596</v>
      </c>
      <c r="AR29" s="120">
        <v>31.05</v>
      </c>
      <c r="AS29" s="35">
        <f t="shared" si="33"/>
        <v>0.51263001485884097</v>
      </c>
      <c r="AT29" s="120">
        <f>23.77+5.36</f>
        <v>29.13</v>
      </c>
      <c r="AU29" s="35">
        <f t="shared" si="34"/>
        <v>0.48093115403665176</v>
      </c>
      <c r="AV29">
        <v>26.82</v>
      </c>
      <c r="AW29" s="35">
        <f t="shared" si="35"/>
        <v>0.4427934621099554</v>
      </c>
      <c r="AX29" s="120">
        <v>26.2</v>
      </c>
      <c r="AY29" s="35">
        <f t="shared" si="36"/>
        <v>0.43255737163612346</v>
      </c>
      <c r="AZ29" s="120">
        <v>25.13</v>
      </c>
      <c r="BA29" s="35">
        <f t="shared" si="37"/>
        <v>0.41489186065709094</v>
      </c>
      <c r="BB29" s="120">
        <v>23.65</v>
      </c>
      <c r="BC29" s="35">
        <f t="shared" si="38"/>
        <v>0.39045732210665346</v>
      </c>
      <c r="BD29">
        <v>22.86</v>
      </c>
      <c r="BE29" s="35">
        <f t="shared" si="39"/>
        <v>0.37741456166419018</v>
      </c>
      <c r="BF29" s="120">
        <v>22.22</v>
      </c>
      <c r="BG29" s="35">
        <f t="shared" si="40"/>
        <v>0.36684827472346043</v>
      </c>
      <c r="BH29" s="120">
        <v>23.24</v>
      </c>
      <c r="BI29" s="35">
        <f t="shared" si="41"/>
        <v>0.38368829453524844</v>
      </c>
      <c r="BJ29" s="120">
        <v>24.94</v>
      </c>
      <c r="BK29" s="35">
        <f t="shared" si="42"/>
        <v>0.41175499422156187</v>
      </c>
      <c r="BL29" s="101" t="s">
        <v>95</v>
      </c>
    </row>
    <row r="30" spans="1:68">
      <c r="A30" s="38" t="s">
        <v>72</v>
      </c>
      <c r="B30" s="38" t="s">
        <v>96</v>
      </c>
      <c r="C30" s="39">
        <v>34</v>
      </c>
      <c r="D30" s="98" t="s">
        <v>79</v>
      </c>
      <c r="E30" s="42">
        <v>2.11</v>
      </c>
      <c r="F30" s="42">
        <v>2.11</v>
      </c>
      <c r="G30" s="42">
        <v>2.11</v>
      </c>
      <c r="H30" s="42">
        <v>2.11</v>
      </c>
      <c r="I30" s="42">
        <v>2.11</v>
      </c>
      <c r="J30" s="42">
        <v>2.11</v>
      </c>
      <c r="K30" s="108">
        <v>2.11</v>
      </c>
      <c r="L30" s="109">
        <v>2.11</v>
      </c>
      <c r="M30" s="115">
        <v>2.1</v>
      </c>
      <c r="N30" s="115">
        <v>2.1</v>
      </c>
      <c r="O30" s="116">
        <v>2.1</v>
      </c>
      <c r="P30" s="116">
        <v>2.1</v>
      </c>
      <c r="Q30" s="116">
        <v>2.1</v>
      </c>
      <c r="R30" s="116">
        <v>2.1</v>
      </c>
      <c r="S30" s="116">
        <v>2.1</v>
      </c>
      <c r="T30" s="46">
        <v>0.24099999999999999</v>
      </c>
      <c r="U30" s="35">
        <f t="shared" si="21"/>
        <v>0.11476190476190476</v>
      </c>
      <c r="V30" s="46">
        <v>0.307</v>
      </c>
      <c r="W30" s="35">
        <f t="shared" si="23"/>
        <v>0.14619047619047618</v>
      </c>
      <c r="X30" s="46">
        <v>0.96499999999999997</v>
      </c>
      <c r="Y30" s="35">
        <f t="shared" si="24"/>
        <v>0.4595238095238095</v>
      </c>
      <c r="Z30" s="46">
        <v>0.84199999999999997</v>
      </c>
      <c r="AA30" s="35">
        <f t="shared" si="25"/>
        <v>0.40095238095238095</v>
      </c>
      <c r="AB30" s="46">
        <v>0.84599999999999997</v>
      </c>
      <c r="AC30" s="35">
        <f t="shared" si="26"/>
        <v>0.4028571428571428</v>
      </c>
      <c r="AD30" s="46">
        <v>1.2609999999999999</v>
      </c>
      <c r="AE30" s="35">
        <f t="shared" si="27"/>
        <v>0.60047619047619039</v>
      </c>
      <c r="AF30" s="46">
        <v>1.256</v>
      </c>
      <c r="AG30" s="35">
        <f t="shared" si="28"/>
        <v>0.59809523809523812</v>
      </c>
      <c r="AH30" s="46">
        <v>1.24569</v>
      </c>
      <c r="AI30" s="35">
        <f t="shared" si="43"/>
        <v>0.59318571428571421</v>
      </c>
      <c r="AJ30" s="46">
        <v>1.3439000000000001</v>
      </c>
      <c r="AK30" s="35">
        <f t="shared" si="29"/>
        <v>0.63995238095238094</v>
      </c>
      <c r="AL30" s="46">
        <v>1.3305</v>
      </c>
      <c r="AM30" s="35">
        <f t="shared" si="30"/>
        <v>0.63357142857142856</v>
      </c>
      <c r="AN30" s="46">
        <v>1.221535</v>
      </c>
      <c r="AO30" s="35">
        <f t="shared" si="31"/>
        <v>0.58168333333333333</v>
      </c>
      <c r="AP30" s="46">
        <v>1.0422830000000001</v>
      </c>
      <c r="AQ30" s="35">
        <f t="shared" si="32"/>
        <v>0.4963252380952381</v>
      </c>
      <c r="AR30" s="46">
        <v>0.88763700000000001</v>
      </c>
      <c r="AS30" s="35">
        <f t="shared" si="33"/>
        <v>0.42268428571428568</v>
      </c>
      <c r="AT30" s="46">
        <v>0.85164700000000004</v>
      </c>
      <c r="AU30" s="35">
        <f t="shared" si="34"/>
        <v>0.4055461904761905</v>
      </c>
      <c r="AV30" s="46">
        <v>0.73</v>
      </c>
      <c r="AW30" s="35">
        <f t="shared" si="35"/>
        <v>0.34761904761904761</v>
      </c>
      <c r="AX30" s="46">
        <v>0.71299999999999997</v>
      </c>
      <c r="AY30" s="35">
        <f t="shared" si="36"/>
        <v>0.33952380952380951</v>
      </c>
      <c r="AZ30" s="46">
        <v>0.70099999999999996</v>
      </c>
      <c r="BA30" s="35">
        <f t="shared" si="37"/>
        <v>0.33380952380952378</v>
      </c>
      <c r="BB30" s="46">
        <v>0.69</v>
      </c>
      <c r="BC30" s="35">
        <f>BB30/$S30</f>
        <v>0.32857142857142851</v>
      </c>
      <c r="BD30" s="46">
        <v>0.67</v>
      </c>
      <c r="BE30" s="35">
        <f t="shared" si="39"/>
        <v>0.31904761904761908</v>
      </c>
      <c r="BF30" s="46">
        <v>0.877</v>
      </c>
      <c r="BG30" s="35">
        <f t="shared" si="40"/>
        <v>0.41761904761904761</v>
      </c>
      <c r="BH30" s="46">
        <v>0.90600000000000003</v>
      </c>
      <c r="BI30" s="35">
        <f t="shared" si="41"/>
        <v>0.43142857142857144</v>
      </c>
      <c r="BJ30" s="46">
        <v>1.0445580000000001</v>
      </c>
      <c r="BK30" s="35">
        <f t="shared" si="42"/>
        <v>0.49740857142857148</v>
      </c>
      <c r="BL30" s="121" t="s">
        <v>80</v>
      </c>
    </row>
    <row r="31" spans="1:68" s="73" customFormat="1" ht="13.5" customHeight="1" thickBot="1">
      <c r="A31" s="414" t="s">
        <v>97</v>
      </c>
      <c r="B31" s="414"/>
      <c r="C31" s="122"/>
      <c r="D31" s="123"/>
      <c r="E31" s="65">
        <f t="shared" ref="E31:O31" si="44">SUM(E20:E30)</f>
        <v>125.77</v>
      </c>
      <c r="F31" s="124">
        <f t="shared" si="44"/>
        <v>139.31</v>
      </c>
      <c r="G31" s="124">
        <f t="shared" si="44"/>
        <v>136.61000000000001</v>
      </c>
      <c r="H31" s="124">
        <f t="shared" si="44"/>
        <v>136.61000000000001</v>
      </c>
      <c r="I31" s="124">
        <f t="shared" si="44"/>
        <v>136.61000000000001</v>
      </c>
      <c r="J31" s="124">
        <f t="shared" si="44"/>
        <v>136.61000000000001</v>
      </c>
      <c r="K31" s="124">
        <f t="shared" si="44"/>
        <v>136.61000000000001</v>
      </c>
      <c r="L31" s="125">
        <f t="shared" si="44"/>
        <v>136.61000000000001</v>
      </c>
      <c r="M31" s="126">
        <f t="shared" si="44"/>
        <v>137.15</v>
      </c>
      <c r="N31" s="126">
        <f t="shared" si="44"/>
        <v>137.10999999999999</v>
      </c>
      <c r="O31" s="127">
        <f t="shared" si="44"/>
        <v>137.67999999999998</v>
      </c>
      <c r="P31" s="127">
        <v>137.68</v>
      </c>
      <c r="Q31" s="127">
        <f>SUM(Q20:Q30)</f>
        <v>137.67999999999998</v>
      </c>
      <c r="R31" s="127">
        <f>SUM(R20:R30)</f>
        <v>137.67999999999998</v>
      </c>
      <c r="S31" s="127">
        <f>SUM(S20:S30)</f>
        <v>137.67999999999998</v>
      </c>
      <c r="T31" s="69">
        <f>SUM(T20:T30)</f>
        <v>54.108999999999995</v>
      </c>
      <c r="U31" s="35">
        <f t="shared" si="21"/>
        <v>0.39300552004648465</v>
      </c>
      <c r="V31" s="69">
        <f>SUM(V20:V30)</f>
        <v>59.171999999999997</v>
      </c>
      <c r="W31" s="35">
        <f t="shared" si="23"/>
        <v>0.42977919814061599</v>
      </c>
      <c r="X31" s="69">
        <f>SUM(X20:X30)</f>
        <v>66.762</v>
      </c>
      <c r="Y31" s="35">
        <f t="shared" si="24"/>
        <v>0.48490703079604891</v>
      </c>
      <c r="Z31" s="69">
        <f>SUM(Z20:Z30)</f>
        <v>80.84</v>
      </c>
      <c r="AA31" s="35">
        <f t="shared" si="25"/>
        <v>0.58715862870424185</v>
      </c>
      <c r="AB31" s="69">
        <f>SUM(AB20:AB30)</f>
        <v>84.359000000000009</v>
      </c>
      <c r="AC31" s="35">
        <f t="shared" si="26"/>
        <v>0.61271789657176079</v>
      </c>
      <c r="AD31" s="69">
        <f>SUM(AD20:AD30)</f>
        <v>96.463199999999986</v>
      </c>
      <c r="AE31" s="35">
        <f t="shared" si="27"/>
        <v>0.70063335270191751</v>
      </c>
      <c r="AF31" s="69">
        <f>SUM(AF20:AF30)</f>
        <v>97.808899999999994</v>
      </c>
      <c r="AG31" s="35">
        <f t="shared" si="28"/>
        <v>0.7104074665891924</v>
      </c>
      <c r="AH31" s="69">
        <f>SUM(AH20:AH30)</f>
        <v>98.775389999999987</v>
      </c>
      <c r="AI31" s="35">
        <f t="shared" si="43"/>
        <v>0.71742729517722259</v>
      </c>
      <c r="AJ31" s="69">
        <f>SUM(AJ20:AJ30)</f>
        <v>98.968499000000008</v>
      </c>
      <c r="AK31" s="35">
        <f t="shared" si="29"/>
        <v>0.71882988814642668</v>
      </c>
      <c r="AL31" s="69">
        <f>SUM(AL20:AL30)</f>
        <v>98.307500000000005</v>
      </c>
      <c r="AM31" s="35">
        <f t="shared" si="30"/>
        <v>0.71402890761185367</v>
      </c>
      <c r="AN31" s="69">
        <f>SUM(AN20:AN30)</f>
        <v>95.009335000000007</v>
      </c>
      <c r="AO31" s="35">
        <f t="shared" si="31"/>
        <v>0.69007361272515999</v>
      </c>
      <c r="AP31" s="69">
        <f>SUM(AP20:AP30)</f>
        <v>87.290067999999991</v>
      </c>
      <c r="AQ31" s="35">
        <f t="shared" si="32"/>
        <v>0.63400688553166762</v>
      </c>
      <c r="AR31" s="69">
        <f>SUM(AR20:AR30)</f>
        <v>80.007955999999993</v>
      </c>
      <c r="AS31" s="35">
        <f t="shared" si="33"/>
        <v>0.58111531086577572</v>
      </c>
      <c r="AT31" s="69">
        <f>SUM(AT20:AT30)</f>
        <v>76.755255999999989</v>
      </c>
      <c r="AU31" s="35">
        <f t="shared" si="34"/>
        <v>0.55749023823358512</v>
      </c>
      <c r="AV31" s="69">
        <f>SUM(AV20:AV30)</f>
        <v>71.238000000000014</v>
      </c>
      <c r="AW31" s="35">
        <f t="shared" si="35"/>
        <v>0.51741719930273111</v>
      </c>
      <c r="AX31" s="69">
        <f>SUM(AX20:AX30)</f>
        <v>70.22399999999999</v>
      </c>
      <c r="AY31" s="35">
        <f t="shared" si="36"/>
        <v>0.5100522951772225</v>
      </c>
      <c r="AZ31" s="69">
        <f>SUM(AZ20:AZ30)</f>
        <v>68.184999999999988</v>
      </c>
      <c r="BA31" s="35">
        <f t="shared" si="37"/>
        <v>0.49524259151656014</v>
      </c>
      <c r="BB31" s="69">
        <f>SUM(BB20:BB30)</f>
        <v>66.055000000000007</v>
      </c>
      <c r="BC31" s="35">
        <f t="shared" si="38"/>
        <v>0.47977193492155734</v>
      </c>
      <c r="BD31" s="69">
        <f>SUM(BD20:BD30)</f>
        <v>64.097000000000008</v>
      </c>
      <c r="BE31" s="35">
        <f t="shared" si="39"/>
        <v>0.46555055200464862</v>
      </c>
      <c r="BF31" s="69">
        <f>SUM(BF20:BF30)</f>
        <v>64.578999999999994</v>
      </c>
      <c r="BG31" s="35">
        <f t="shared" si="40"/>
        <v>0.46905142359093555</v>
      </c>
      <c r="BH31" s="69">
        <f>SUM(BH20:BH30)</f>
        <v>66.412000000000006</v>
      </c>
      <c r="BI31" s="35">
        <f t="shared" si="41"/>
        <v>0.48236490412550853</v>
      </c>
      <c r="BJ31" s="69">
        <f>SUM(BJ20:BJ30)</f>
        <v>71.409458000000001</v>
      </c>
      <c r="BK31" s="35">
        <f t="shared" si="42"/>
        <v>0.51866253631609538</v>
      </c>
      <c r="BL31" s="71"/>
      <c r="BM31" s="72"/>
    </row>
    <row r="32" spans="1:68" ht="7.5" customHeight="1" thickBot="1">
      <c r="A32" s="102"/>
      <c r="B32" s="102"/>
      <c r="C32" s="103"/>
      <c r="D32" s="104"/>
      <c r="E32" s="96"/>
      <c r="F32" s="96"/>
      <c r="G32" s="96"/>
      <c r="H32" s="96"/>
      <c r="I32" s="96"/>
      <c r="J32" s="96"/>
      <c r="K32" s="96"/>
      <c r="L32" s="105"/>
      <c r="M32" s="128"/>
      <c r="N32" s="128"/>
      <c r="O32" s="129"/>
      <c r="P32" s="129"/>
      <c r="Q32" s="129"/>
      <c r="R32" s="129"/>
      <c r="S32" s="129"/>
      <c r="T32" s="80"/>
      <c r="U32" s="81"/>
      <c r="V32" s="80"/>
      <c r="W32" s="81"/>
      <c r="X32" s="80"/>
      <c r="Y32" s="81"/>
      <c r="Z32" s="80"/>
      <c r="AA32" s="81"/>
      <c r="AB32" s="80"/>
      <c r="AC32" s="81"/>
      <c r="AD32" s="80"/>
      <c r="AE32" s="81"/>
      <c r="AF32" s="80"/>
      <c r="AG32" s="81"/>
      <c r="AH32" s="80"/>
      <c r="AI32" s="81"/>
      <c r="AJ32" s="80"/>
      <c r="AK32" s="81"/>
      <c r="AL32" s="80"/>
      <c r="AM32" s="81"/>
      <c r="AN32" s="80"/>
      <c r="AO32" s="81"/>
      <c r="AP32" s="80"/>
      <c r="AQ32" s="81"/>
      <c r="AR32" s="80"/>
      <c r="AS32" s="81"/>
      <c r="AT32" s="80"/>
      <c r="AU32" s="81"/>
      <c r="AV32" s="80"/>
      <c r="AW32" s="81"/>
      <c r="AX32" s="80"/>
      <c r="AY32" s="81"/>
      <c r="AZ32" s="80"/>
      <c r="BA32" s="81"/>
      <c r="BB32" s="80"/>
      <c r="BC32" s="81"/>
      <c r="BD32" s="80"/>
      <c r="BE32" s="81"/>
      <c r="BF32" s="80"/>
      <c r="BG32" s="81"/>
      <c r="BH32" s="80"/>
      <c r="BI32" s="81"/>
      <c r="BJ32" s="80"/>
      <c r="BK32" s="81"/>
      <c r="BL32" s="82"/>
    </row>
    <row r="33" spans="1:65">
      <c r="A33" s="38" t="s">
        <v>98</v>
      </c>
      <c r="B33" s="38" t="s">
        <v>99</v>
      </c>
      <c r="C33" s="39">
        <v>28</v>
      </c>
      <c r="D33" s="98" t="s">
        <v>100</v>
      </c>
      <c r="E33" s="42">
        <v>10</v>
      </c>
      <c r="F33" s="42">
        <v>10</v>
      </c>
      <c r="G33" s="42">
        <v>10</v>
      </c>
      <c r="H33" s="42">
        <v>10</v>
      </c>
      <c r="I33" s="42">
        <v>10</v>
      </c>
      <c r="J33" s="42">
        <v>10</v>
      </c>
      <c r="K33" s="42">
        <v>10</v>
      </c>
      <c r="L33" s="43">
        <v>10</v>
      </c>
      <c r="M33" s="44">
        <v>10</v>
      </c>
      <c r="N33" s="44">
        <v>10</v>
      </c>
      <c r="O33" s="45">
        <v>10</v>
      </c>
      <c r="P33" s="45">
        <v>10</v>
      </c>
      <c r="Q33" s="45">
        <v>10</v>
      </c>
      <c r="R33" s="45">
        <v>10</v>
      </c>
      <c r="S33" s="45">
        <v>10</v>
      </c>
      <c r="T33" s="112">
        <v>7.4009999999999998</v>
      </c>
      <c r="U33" s="35">
        <f t="shared" si="21"/>
        <v>0.74009999999999998</v>
      </c>
      <c r="V33" s="112">
        <v>7.6349999999999998</v>
      </c>
      <c r="W33" s="35">
        <f t="shared" ref="W33:W43" si="45">V33/$S33</f>
        <v>0.76349999999999996</v>
      </c>
      <c r="X33" s="112">
        <v>9.98</v>
      </c>
      <c r="Y33" s="35">
        <f t="shared" ref="Y33:Y43" si="46">X33/$S33</f>
        <v>0.998</v>
      </c>
      <c r="Z33" s="112">
        <v>9.9480000000000004</v>
      </c>
      <c r="AA33" s="35">
        <f t="shared" ref="AA33:AA43" si="47">Z33/$S33</f>
        <v>0.99480000000000002</v>
      </c>
      <c r="AB33" s="112">
        <v>10</v>
      </c>
      <c r="AC33" s="35">
        <f t="shared" ref="AC33:AC43" si="48">AB33/$S33</f>
        <v>1</v>
      </c>
      <c r="AD33" s="112">
        <v>9.984</v>
      </c>
      <c r="AE33" s="35">
        <f t="shared" ref="AE33:AE43" si="49">AD33/$S33</f>
        <v>0.99839999999999995</v>
      </c>
      <c r="AF33" s="112">
        <v>9.9846000000000004</v>
      </c>
      <c r="AG33" s="35">
        <f t="shared" ref="AG33:AG43" si="50">AF33/$S33</f>
        <v>0.99846000000000001</v>
      </c>
      <c r="AH33" s="112">
        <v>9.9846000000000004</v>
      </c>
      <c r="AI33" s="35">
        <f t="shared" ref="AI33:AI43" si="51">AH33/$S33</f>
        <v>0.99846000000000001</v>
      </c>
      <c r="AJ33" s="112">
        <v>9.9846000000000004</v>
      </c>
      <c r="AK33" s="35">
        <f t="shared" ref="AK33:AK43" si="52">AJ33/$S33</f>
        <v>0.99846000000000001</v>
      </c>
      <c r="AL33" s="112">
        <v>9.9846000000000004</v>
      </c>
      <c r="AM33" s="35">
        <f t="shared" ref="AM33:AM43" si="53">AL33/$S33</f>
        <v>0.99846000000000001</v>
      </c>
      <c r="AN33" s="112">
        <v>9.1041000000000007</v>
      </c>
      <c r="AO33" s="35">
        <f t="shared" ref="AO33:AO43" si="54">AN33/$S33</f>
        <v>0.91041000000000005</v>
      </c>
      <c r="AP33" s="112">
        <v>7.7782</v>
      </c>
      <c r="AQ33" s="35">
        <f t="shared" ref="AQ33:AQ43" si="55">AP33/$S33</f>
        <v>0.77781999999999996</v>
      </c>
      <c r="AR33" s="112">
        <v>6.7190000000000003</v>
      </c>
      <c r="AS33" s="35">
        <f t="shared" ref="AS33:AS43" si="56">AR33/$S33</f>
        <v>0.67190000000000005</v>
      </c>
      <c r="AT33" s="112">
        <v>5.976</v>
      </c>
      <c r="AU33" s="35">
        <f t="shared" ref="AU33:AU43" si="57">AT33/$S33</f>
        <v>0.59760000000000002</v>
      </c>
      <c r="AV33" s="112">
        <v>5.069</v>
      </c>
      <c r="AW33" s="35">
        <f t="shared" ref="AW33:AW43" si="58">AV33/$S33</f>
        <v>0.50690000000000002</v>
      </c>
      <c r="AX33" s="112">
        <v>5.0750000000000002</v>
      </c>
      <c r="AY33" s="35">
        <f t="shared" ref="AY33:AY43" si="59">AX33/$S33</f>
        <v>0.50750000000000006</v>
      </c>
      <c r="AZ33" s="112">
        <v>5.0350000000000001</v>
      </c>
      <c r="BA33" s="35">
        <f t="shared" ref="BA33:BA43" si="60">AZ33/$S33</f>
        <v>0.50350000000000006</v>
      </c>
      <c r="BB33" s="112">
        <v>5.1159999999999997</v>
      </c>
      <c r="BC33" s="35">
        <f t="shared" ref="BC33:BC43" si="61">BB33/$S33</f>
        <v>0.51159999999999994</v>
      </c>
      <c r="BD33" s="112">
        <v>5.2069999999999999</v>
      </c>
      <c r="BE33" s="35">
        <f t="shared" ref="BE33:BE43" si="62">BD33/$S33</f>
        <v>0.52069999999999994</v>
      </c>
      <c r="BF33" s="112">
        <v>5.6079999999999997</v>
      </c>
      <c r="BG33" s="35">
        <f t="shared" ref="BG33:BG43" si="63">BF33/$S33</f>
        <v>0.56079999999999997</v>
      </c>
      <c r="BH33" s="112">
        <v>6.0990000000000002</v>
      </c>
      <c r="BI33" s="35">
        <f t="shared" ref="BI33:BI43" si="64">BH33/$S33</f>
        <v>0.6099</v>
      </c>
      <c r="BJ33" s="112">
        <v>7.5019999999999998</v>
      </c>
      <c r="BK33" s="35">
        <f t="shared" ref="BK33:BK43" si="65">BJ33/$S33</f>
        <v>0.75019999999999998</v>
      </c>
      <c r="BL33" s="36" t="s">
        <v>42</v>
      </c>
    </row>
    <row r="34" spans="1:65">
      <c r="A34" s="38" t="s">
        <v>98</v>
      </c>
      <c r="B34" s="38" t="s">
        <v>101</v>
      </c>
      <c r="C34" s="39">
        <v>43</v>
      </c>
      <c r="D34" s="98" t="s">
        <v>102</v>
      </c>
      <c r="E34" s="42">
        <v>2.2999999999999998</v>
      </c>
      <c r="F34" s="42">
        <v>2.2999999999999998</v>
      </c>
      <c r="G34" s="42">
        <v>2.2999999999999998</v>
      </c>
      <c r="H34" s="42">
        <v>2.2999999999999998</v>
      </c>
      <c r="I34" s="42">
        <v>2.2999999999999998</v>
      </c>
      <c r="J34" s="42">
        <v>2.2999999999999998</v>
      </c>
      <c r="K34" s="42">
        <v>2.2999999999999998</v>
      </c>
      <c r="L34" s="43">
        <v>2.2999999999999998</v>
      </c>
      <c r="M34" s="44">
        <v>2.2999999999999998</v>
      </c>
      <c r="N34" s="44">
        <v>2.2999999999999998</v>
      </c>
      <c r="O34" s="45">
        <v>2.2999999999999998</v>
      </c>
      <c r="P34" s="45">
        <v>2.2999999999999998</v>
      </c>
      <c r="Q34" s="45">
        <v>2.2999999999999998</v>
      </c>
      <c r="R34" s="45">
        <v>2.2999999999999998</v>
      </c>
      <c r="S34" s="45">
        <v>2.2999999999999998</v>
      </c>
      <c r="T34" s="46">
        <v>2.2999999999999998</v>
      </c>
      <c r="U34" s="35">
        <f t="shared" si="21"/>
        <v>1</v>
      </c>
      <c r="V34" s="46">
        <v>2.2999999999999998</v>
      </c>
      <c r="W34" s="35">
        <f t="shared" si="45"/>
        <v>1</v>
      </c>
      <c r="X34" s="46">
        <v>2.2999999999999998</v>
      </c>
      <c r="Y34" s="35">
        <f t="shared" si="46"/>
        <v>1</v>
      </c>
      <c r="Z34" s="46">
        <v>2.2999999999999998</v>
      </c>
      <c r="AA34" s="35">
        <f t="shared" si="47"/>
        <v>1</v>
      </c>
      <c r="AB34" s="46">
        <v>2.2999999999999998</v>
      </c>
      <c r="AC34" s="35">
        <f t="shared" si="48"/>
        <v>1</v>
      </c>
      <c r="AD34" s="46">
        <v>2.2999999999999998</v>
      </c>
      <c r="AE34" s="35">
        <f t="shared" si="49"/>
        <v>1</v>
      </c>
      <c r="AF34" s="46">
        <v>2.2999999999999998</v>
      </c>
      <c r="AG34" s="35">
        <f t="shared" si="50"/>
        <v>1</v>
      </c>
      <c r="AH34" s="46">
        <v>2.2999999999999998</v>
      </c>
      <c r="AI34" s="35">
        <f t="shared" si="51"/>
        <v>1</v>
      </c>
      <c r="AJ34" s="46">
        <v>2.2999999999999998</v>
      </c>
      <c r="AK34" s="35">
        <f t="shared" si="52"/>
        <v>1</v>
      </c>
      <c r="AL34" s="46">
        <v>2.2999999999999998</v>
      </c>
      <c r="AM34" s="35">
        <f t="shared" si="53"/>
        <v>1</v>
      </c>
      <c r="AN34" s="46">
        <v>2.1747000000000001</v>
      </c>
      <c r="AO34" s="35">
        <f t="shared" si="54"/>
        <v>0.94552173913043491</v>
      </c>
      <c r="AP34" s="46">
        <v>1.9615</v>
      </c>
      <c r="AQ34" s="35">
        <f t="shared" si="55"/>
        <v>0.85282608695652184</v>
      </c>
      <c r="AR34" s="46">
        <v>1.6943999999999999</v>
      </c>
      <c r="AS34" s="35">
        <f t="shared" si="56"/>
        <v>0.73669565217391308</v>
      </c>
      <c r="AT34" s="46">
        <v>1.512</v>
      </c>
      <c r="AU34" s="35">
        <f t="shared" si="57"/>
        <v>0.65739130434782611</v>
      </c>
      <c r="AV34" s="46">
        <v>1.3129999999999999</v>
      </c>
      <c r="AW34" s="35">
        <f t="shared" si="58"/>
        <v>0.57086956521739129</v>
      </c>
      <c r="AX34" s="46">
        <v>1.2809999999999999</v>
      </c>
      <c r="AY34" s="35">
        <f t="shared" si="59"/>
        <v>0.55695652173913046</v>
      </c>
      <c r="AZ34" s="46">
        <v>1.2390000000000001</v>
      </c>
      <c r="BA34" s="35">
        <f t="shared" si="60"/>
        <v>0.53869565217391313</v>
      </c>
      <c r="BB34" s="46">
        <v>1.1990000000000001</v>
      </c>
      <c r="BC34" s="35">
        <f t="shared" si="61"/>
        <v>0.52130434782608703</v>
      </c>
      <c r="BD34" s="46">
        <v>1.1659999999999999</v>
      </c>
      <c r="BE34" s="35">
        <f t="shared" si="62"/>
        <v>0.50695652173913042</v>
      </c>
      <c r="BF34" s="46">
        <v>1.18</v>
      </c>
      <c r="BG34" s="35">
        <f t="shared" si="63"/>
        <v>0.5130434782608696</v>
      </c>
      <c r="BH34" s="46">
        <v>1.21</v>
      </c>
      <c r="BI34" s="35">
        <f t="shared" si="64"/>
        <v>0.5260869565217392</v>
      </c>
      <c r="BJ34" s="46">
        <v>1.4430000000000001</v>
      </c>
      <c r="BK34" s="35">
        <f t="shared" si="65"/>
        <v>0.6273913043478262</v>
      </c>
      <c r="BL34" s="36" t="s">
        <v>42</v>
      </c>
    </row>
    <row r="35" spans="1:65">
      <c r="A35" s="38" t="s">
        <v>98</v>
      </c>
      <c r="B35" s="38" t="s">
        <v>103</v>
      </c>
      <c r="C35" s="39">
        <v>47</v>
      </c>
      <c r="D35" s="98" t="s">
        <v>104</v>
      </c>
      <c r="E35" s="42">
        <v>3.4</v>
      </c>
      <c r="F35" s="42">
        <v>3.4</v>
      </c>
      <c r="G35" s="42">
        <v>3.4</v>
      </c>
      <c r="H35" s="42">
        <v>3.4</v>
      </c>
      <c r="I35" s="42">
        <v>3.4</v>
      </c>
      <c r="J35" s="42">
        <v>3.4</v>
      </c>
      <c r="K35" s="42">
        <v>3.4</v>
      </c>
      <c r="L35" s="43">
        <v>3.4</v>
      </c>
      <c r="M35" s="130">
        <v>3.4</v>
      </c>
      <c r="N35" s="44">
        <v>3.4</v>
      </c>
      <c r="O35" s="45">
        <v>3.4</v>
      </c>
      <c r="P35" s="45">
        <v>3.4</v>
      </c>
      <c r="Q35" s="45">
        <v>3.4</v>
      </c>
      <c r="R35" s="45">
        <v>3.4</v>
      </c>
      <c r="S35" s="45">
        <v>3.4</v>
      </c>
      <c r="T35" s="46">
        <v>2.5070000000000001</v>
      </c>
      <c r="U35" s="35">
        <f t="shared" si="21"/>
        <v>0.73735294117647066</v>
      </c>
      <c r="V35" s="46">
        <v>2.7549999999999999</v>
      </c>
      <c r="W35" s="35">
        <f t="shared" si="45"/>
        <v>0.81029411764705883</v>
      </c>
      <c r="X35" s="46">
        <v>3.36</v>
      </c>
      <c r="Y35" s="35">
        <f t="shared" si="46"/>
        <v>0.9882352941176471</v>
      </c>
      <c r="Z35" s="46">
        <v>3.3620000000000001</v>
      </c>
      <c r="AA35" s="35">
        <f t="shared" si="47"/>
        <v>0.98882352941176477</v>
      </c>
      <c r="AB35" s="46">
        <v>3.3079999999999998</v>
      </c>
      <c r="AC35" s="35">
        <f t="shared" si="48"/>
        <v>0.9729411764705882</v>
      </c>
      <c r="AD35" s="46">
        <v>3.3513000000000002</v>
      </c>
      <c r="AE35" s="35">
        <f t="shared" si="49"/>
        <v>0.98567647058823538</v>
      </c>
      <c r="AF35" s="46">
        <v>3.3639999999999999</v>
      </c>
      <c r="AG35" s="35">
        <f t="shared" si="50"/>
        <v>0.98941176470588232</v>
      </c>
      <c r="AH35" s="46">
        <v>3.3008000000000002</v>
      </c>
      <c r="AI35" s="35">
        <f t="shared" si="51"/>
        <v>0.97082352941176475</v>
      </c>
      <c r="AJ35" s="46">
        <v>3.2999299999999998</v>
      </c>
      <c r="AK35" s="35">
        <f t="shared" si="52"/>
        <v>0.97056764705882348</v>
      </c>
      <c r="AL35" s="46">
        <v>3.1825000000000001</v>
      </c>
      <c r="AM35" s="35">
        <f t="shared" si="53"/>
        <v>0.93602941176470589</v>
      </c>
      <c r="AN35" s="46">
        <v>2.6272000000000002</v>
      </c>
      <c r="AO35" s="35">
        <f t="shared" si="54"/>
        <v>0.77270588235294124</v>
      </c>
      <c r="AP35" s="46">
        <v>2.0259</v>
      </c>
      <c r="AQ35" s="35">
        <f t="shared" si="55"/>
        <v>0.59585294117647059</v>
      </c>
      <c r="AR35" s="46">
        <v>1.7185999999999999</v>
      </c>
      <c r="AS35" s="35">
        <f t="shared" si="56"/>
        <v>0.50547058823529412</v>
      </c>
      <c r="AT35" s="46">
        <v>1.5817000000000001</v>
      </c>
      <c r="AU35" s="35">
        <f t="shared" si="57"/>
        <v>0.46520588235294125</v>
      </c>
      <c r="AV35" s="46">
        <v>1.343</v>
      </c>
      <c r="AW35" s="35">
        <f t="shared" si="58"/>
        <v>0.39500000000000002</v>
      </c>
      <c r="AX35" s="46">
        <v>1.2729999999999999</v>
      </c>
      <c r="AY35" s="35">
        <f t="shared" si="59"/>
        <v>0.37441176470588233</v>
      </c>
      <c r="AZ35" s="46">
        <v>1.149</v>
      </c>
      <c r="BA35" s="35">
        <f t="shared" si="60"/>
        <v>0.33794117647058824</v>
      </c>
      <c r="BB35" s="46">
        <v>1.012</v>
      </c>
      <c r="BC35" s="35">
        <f t="shared" si="61"/>
        <v>0.29764705882352943</v>
      </c>
      <c r="BD35" s="46">
        <v>0.92200000000000004</v>
      </c>
      <c r="BE35" s="35">
        <f t="shared" si="62"/>
        <v>0.2711764705882353</v>
      </c>
      <c r="BF35" s="46">
        <v>0.75600000000000001</v>
      </c>
      <c r="BG35" s="35">
        <f t="shared" si="63"/>
        <v>0.22235294117647059</v>
      </c>
      <c r="BH35" s="46">
        <v>0.78200000000000003</v>
      </c>
      <c r="BI35" s="35">
        <f t="shared" si="64"/>
        <v>0.23</v>
      </c>
      <c r="BJ35" s="46">
        <v>0.92500000000000004</v>
      </c>
      <c r="BK35" s="35">
        <f t="shared" si="65"/>
        <v>0.2720588235294118</v>
      </c>
      <c r="BL35" s="36" t="s">
        <v>42</v>
      </c>
    </row>
    <row r="36" spans="1:65">
      <c r="A36" s="38" t="s">
        <v>98</v>
      </c>
      <c r="B36" s="38" t="s">
        <v>105</v>
      </c>
      <c r="C36" s="39">
        <v>27</v>
      </c>
      <c r="D36" s="98" t="s">
        <v>106</v>
      </c>
      <c r="E36" s="42">
        <v>24</v>
      </c>
      <c r="F36" s="42">
        <v>24</v>
      </c>
      <c r="G36" s="42">
        <v>24</v>
      </c>
      <c r="H36" s="42">
        <v>24</v>
      </c>
      <c r="I36" s="42">
        <v>24</v>
      </c>
      <c r="J36" s="42">
        <v>24</v>
      </c>
      <c r="K36" s="42">
        <v>24</v>
      </c>
      <c r="L36" s="43">
        <v>24</v>
      </c>
      <c r="M36" s="44">
        <v>24</v>
      </c>
      <c r="N36" s="44">
        <v>24</v>
      </c>
      <c r="O36" s="45">
        <v>24</v>
      </c>
      <c r="P36" s="45">
        <v>24</v>
      </c>
      <c r="Q36" s="45">
        <v>24</v>
      </c>
      <c r="R36" s="45">
        <v>24</v>
      </c>
      <c r="S36" s="45">
        <v>24</v>
      </c>
      <c r="T36" s="46">
        <v>20.097000000000001</v>
      </c>
      <c r="U36" s="35">
        <f t="shared" si="21"/>
        <v>0.83737500000000009</v>
      </c>
      <c r="V36" s="46">
        <v>22.556000000000001</v>
      </c>
      <c r="W36" s="35">
        <f t="shared" si="45"/>
        <v>0.93983333333333341</v>
      </c>
      <c r="X36" s="46">
        <v>24</v>
      </c>
      <c r="Y36" s="35">
        <f t="shared" si="46"/>
        <v>1</v>
      </c>
      <c r="Z36" s="46">
        <v>24</v>
      </c>
      <c r="AA36" s="35">
        <f t="shared" si="47"/>
        <v>1</v>
      </c>
      <c r="AB36" s="46">
        <v>24</v>
      </c>
      <c r="AC36" s="35">
        <f t="shared" si="48"/>
        <v>1</v>
      </c>
      <c r="AD36" s="46">
        <v>24</v>
      </c>
      <c r="AE36" s="35">
        <f t="shared" si="49"/>
        <v>1</v>
      </c>
      <c r="AF36" s="46">
        <v>24</v>
      </c>
      <c r="AG36" s="35">
        <f t="shared" si="50"/>
        <v>1</v>
      </c>
      <c r="AH36" s="46">
        <v>24</v>
      </c>
      <c r="AI36" s="35">
        <f t="shared" si="51"/>
        <v>1</v>
      </c>
      <c r="AJ36" s="46">
        <v>24</v>
      </c>
      <c r="AK36" s="35">
        <f t="shared" si="52"/>
        <v>1</v>
      </c>
      <c r="AL36" s="46">
        <v>23.861999999999998</v>
      </c>
      <c r="AM36" s="35">
        <f t="shared" si="53"/>
        <v>0.99424999999999997</v>
      </c>
      <c r="AN36" s="46">
        <v>22.667000000000002</v>
      </c>
      <c r="AO36" s="35">
        <f t="shared" si="54"/>
        <v>0.9444583333333334</v>
      </c>
      <c r="AP36" s="46">
        <v>20.396999999999998</v>
      </c>
      <c r="AQ36" s="35">
        <f t="shared" si="55"/>
        <v>0.84987499999999994</v>
      </c>
      <c r="AR36" s="46">
        <v>18.483000000000001</v>
      </c>
      <c r="AS36" s="35">
        <f t="shared" si="56"/>
        <v>0.77012500000000006</v>
      </c>
      <c r="AT36" s="46">
        <v>17.443000000000001</v>
      </c>
      <c r="AU36" s="35">
        <f t="shared" si="57"/>
        <v>0.72679166666666672</v>
      </c>
      <c r="AV36" s="46">
        <v>15.225</v>
      </c>
      <c r="AW36" s="35">
        <f t="shared" si="58"/>
        <v>0.63437500000000002</v>
      </c>
      <c r="AX36" s="46">
        <v>15.175000000000001</v>
      </c>
      <c r="AY36" s="35">
        <f t="shared" si="59"/>
        <v>0.6322916666666667</v>
      </c>
      <c r="AZ36" s="46">
        <v>15.260999999999999</v>
      </c>
      <c r="BA36" s="35">
        <f t="shared" si="60"/>
        <v>0.63587499999999997</v>
      </c>
      <c r="BB36" s="46">
        <v>15.227</v>
      </c>
      <c r="BC36" s="35">
        <f t="shared" si="61"/>
        <v>0.63445833333333335</v>
      </c>
      <c r="BD36" s="46">
        <v>15.273</v>
      </c>
      <c r="BE36" s="35">
        <f t="shared" si="62"/>
        <v>0.63637500000000002</v>
      </c>
      <c r="BF36" s="46">
        <v>15.789</v>
      </c>
      <c r="BG36" s="35">
        <f t="shared" si="63"/>
        <v>0.65787499999999999</v>
      </c>
      <c r="BH36" s="46">
        <v>17.327000000000002</v>
      </c>
      <c r="BI36" s="35">
        <f t="shared" si="64"/>
        <v>0.72195833333333337</v>
      </c>
      <c r="BJ36" s="46">
        <v>20.707000000000001</v>
      </c>
      <c r="BK36" s="35">
        <f t="shared" si="65"/>
        <v>0.86279166666666673</v>
      </c>
      <c r="BL36" s="36" t="s">
        <v>42</v>
      </c>
    </row>
    <row r="37" spans="1:65">
      <c r="A37" s="38" t="s">
        <v>98</v>
      </c>
      <c r="B37" s="38" t="s">
        <v>107</v>
      </c>
      <c r="C37" s="39">
        <v>32</v>
      </c>
      <c r="D37" s="98" t="s">
        <v>108</v>
      </c>
      <c r="E37" s="42">
        <v>2</v>
      </c>
      <c r="F37" s="42">
        <v>2</v>
      </c>
      <c r="G37" s="42">
        <v>2</v>
      </c>
      <c r="H37" s="42">
        <v>2</v>
      </c>
      <c r="I37" s="42">
        <v>2</v>
      </c>
      <c r="J37" s="42">
        <v>2</v>
      </c>
      <c r="K37" s="42">
        <v>2.5</v>
      </c>
      <c r="L37" s="43">
        <v>2.5</v>
      </c>
      <c r="M37" s="44">
        <v>2.5</v>
      </c>
      <c r="N37" s="44">
        <v>2.5</v>
      </c>
      <c r="O37" s="45">
        <v>2.5</v>
      </c>
      <c r="P37" s="45">
        <v>2.5</v>
      </c>
      <c r="Q37" s="45">
        <v>2.5</v>
      </c>
      <c r="R37" s="45">
        <v>2.5</v>
      </c>
      <c r="S37" s="45">
        <v>2.5</v>
      </c>
      <c r="T37" s="46">
        <v>2.5</v>
      </c>
      <c r="U37" s="35">
        <f t="shared" si="21"/>
        <v>1</v>
      </c>
      <c r="V37" s="46">
        <v>2.5</v>
      </c>
      <c r="W37" s="35">
        <f t="shared" si="45"/>
        <v>1</v>
      </c>
      <c r="X37" s="46">
        <v>2.5</v>
      </c>
      <c r="Y37" s="35">
        <f t="shared" si="46"/>
        <v>1</v>
      </c>
      <c r="Z37" s="46">
        <v>2.5</v>
      </c>
      <c r="AA37" s="35">
        <f t="shared" si="47"/>
        <v>1</v>
      </c>
      <c r="AB37" s="46">
        <v>2.5</v>
      </c>
      <c r="AC37" s="35">
        <f t="shared" si="48"/>
        <v>1</v>
      </c>
      <c r="AD37" s="46">
        <v>2.5</v>
      </c>
      <c r="AE37" s="35">
        <f t="shared" si="49"/>
        <v>1</v>
      </c>
      <c r="AF37" s="46">
        <v>2.5</v>
      </c>
      <c r="AG37" s="35">
        <f t="shared" si="50"/>
        <v>1</v>
      </c>
      <c r="AH37" s="46">
        <v>2.5</v>
      </c>
      <c r="AI37" s="35">
        <f t="shared" si="51"/>
        <v>1</v>
      </c>
      <c r="AJ37" s="46">
        <v>2.5</v>
      </c>
      <c r="AK37" s="35">
        <f t="shared" si="52"/>
        <v>1</v>
      </c>
      <c r="AL37" s="46">
        <v>2.5</v>
      </c>
      <c r="AM37" s="35">
        <f t="shared" si="53"/>
        <v>1</v>
      </c>
      <c r="AN37" s="46">
        <v>2.2336999999999998</v>
      </c>
      <c r="AO37" s="35">
        <f t="shared" si="54"/>
        <v>0.89347999999999994</v>
      </c>
      <c r="AP37" s="46">
        <v>1.6044</v>
      </c>
      <c r="AQ37" s="35">
        <f t="shared" si="55"/>
        <v>0.64176</v>
      </c>
      <c r="AR37" s="46">
        <v>1.0051000000000001</v>
      </c>
      <c r="AS37" s="35">
        <f t="shared" si="56"/>
        <v>0.40204000000000006</v>
      </c>
      <c r="AT37" s="46">
        <v>0.70389999999999997</v>
      </c>
      <c r="AU37" s="35">
        <f t="shared" si="57"/>
        <v>0.28155999999999998</v>
      </c>
      <c r="AV37" s="46">
        <v>0.46</v>
      </c>
      <c r="AW37" s="35">
        <f t="shared" si="58"/>
        <v>0.184</v>
      </c>
      <c r="AX37" s="46">
        <v>0.65300000000000002</v>
      </c>
      <c r="AY37" s="35">
        <f t="shared" si="59"/>
        <v>0.26119999999999999</v>
      </c>
      <c r="AZ37" s="46">
        <v>0.86799999999999999</v>
      </c>
      <c r="BA37" s="35">
        <f t="shared" si="60"/>
        <v>0.34720000000000001</v>
      </c>
      <c r="BB37" s="46">
        <v>0.98799999999999999</v>
      </c>
      <c r="BC37" s="35">
        <f t="shared" si="61"/>
        <v>0.3952</v>
      </c>
      <c r="BD37" s="46">
        <v>1.155</v>
      </c>
      <c r="BE37" s="35">
        <f t="shared" si="62"/>
        <v>0.46200000000000002</v>
      </c>
      <c r="BF37" s="46">
        <v>1.752</v>
      </c>
      <c r="BG37" s="35">
        <f t="shared" si="63"/>
        <v>0.70079999999999998</v>
      </c>
      <c r="BH37" s="46">
        <v>2.4300000000000002</v>
      </c>
      <c r="BI37" s="35">
        <f t="shared" si="64"/>
        <v>0.97200000000000009</v>
      </c>
      <c r="BJ37" s="46">
        <v>2.5</v>
      </c>
      <c r="BK37" s="35">
        <f t="shared" si="65"/>
        <v>1</v>
      </c>
      <c r="BL37" s="36" t="s">
        <v>42</v>
      </c>
    </row>
    <row r="38" spans="1:65">
      <c r="A38" s="38" t="s">
        <v>98</v>
      </c>
      <c r="B38" s="38" t="s">
        <v>109</v>
      </c>
      <c r="C38" s="39">
        <v>25</v>
      </c>
      <c r="D38" s="98" t="s">
        <v>104</v>
      </c>
      <c r="E38" s="42">
        <v>3.72</v>
      </c>
      <c r="F38" s="42">
        <v>3.72</v>
      </c>
      <c r="G38" s="42">
        <v>3.72</v>
      </c>
      <c r="H38" s="42">
        <v>3.72</v>
      </c>
      <c r="I38" s="42">
        <v>3.72</v>
      </c>
      <c r="J38" s="42">
        <v>3.72</v>
      </c>
      <c r="K38" s="42">
        <v>3.72</v>
      </c>
      <c r="L38" s="43">
        <v>3.72</v>
      </c>
      <c r="M38" s="44">
        <v>3.72</v>
      </c>
      <c r="N38" s="44">
        <v>3.72</v>
      </c>
      <c r="O38" s="45">
        <v>3.72</v>
      </c>
      <c r="P38" s="45">
        <v>3.72</v>
      </c>
      <c r="Q38" s="45">
        <v>3.72</v>
      </c>
      <c r="R38" s="45">
        <v>3.72</v>
      </c>
      <c r="S38" s="45">
        <v>3.72</v>
      </c>
      <c r="T38" s="46">
        <v>3.4489999999999998</v>
      </c>
      <c r="U38" s="35">
        <f t="shared" si="21"/>
        <v>0.92715053763440847</v>
      </c>
      <c r="V38" s="46">
        <v>3.72</v>
      </c>
      <c r="W38" s="35">
        <f t="shared" si="45"/>
        <v>1</v>
      </c>
      <c r="X38" s="46">
        <v>3.72</v>
      </c>
      <c r="Y38" s="35">
        <f t="shared" si="46"/>
        <v>1</v>
      </c>
      <c r="Z38" s="46">
        <v>3.72</v>
      </c>
      <c r="AA38" s="35">
        <f t="shared" si="47"/>
        <v>1</v>
      </c>
      <c r="AB38" s="46">
        <v>3.72</v>
      </c>
      <c r="AC38" s="35">
        <f t="shared" si="48"/>
        <v>1</v>
      </c>
      <c r="AD38" s="46">
        <v>3.72</v>
      </c>
      <c r="AE38" s="35">
        <f t="shared" si="49"/>
        <v>1</v>
      </c>
      <c r="AF38" s="46">
        <v>3.7124999999999999</v>
      </c>
      <c r="AG38" s="35">
        <f t="shared" si="50"/>
        <v>0.99798387096774188</v>
      </c>
      <c r="AH38" s="46">
        <v>3.6515</v>
      </c>
      <c r="AI38" s="35">
        <f t="shared" si="51"/>
        <v>0.98158602150537633</v>
      </c>
      <c r="AJ38" s="46">
        <v>3.6665000000000001</v>
      </c>
      <c r="AK38" s="35">
        <f t="shared" si="52"/>
        <v>0.98561827956989245</v>
      </c>
      <c r="AL38" s="46">
        <v>3.5855999999999999</v>
      </c>
      <c r="AM38" s="35">
        <f t="shared" si="53"/>
        <v>0.96387096774193537</v>
      </c>
      <c r="AN38" s="46">
        <v>3.4384999999999999</v>
      </c>
      <c r="AO38" s="35">
        <f t="shared" si="54"/>
        <v>0.92432795698924719</v>
      </c>
      <c r="AP38" s="46">
        <v>3.2197</v>
      </c>
      <c r="AQ38" s="35">
        <f t="shared" si="55"/>
        <v>0.86551075268817201</v>
      </c>
      <c r="AR38" s="46">
        <v>2.9266999999999999</v>
      </c>
      <c r="AS38" s="35">
        <f t="shared" si="56"/>
        <v>0.78674731182795687</v>
      </c>
      <c r="AT38" s="46">
        <v>2.69</v>
      </c>
      <c r="AU38" s="35">
        <f t="shared" si="57"/>
        <v>0.72311827956989239</v>
      </c>
      <c r="AV38" s="46">
        <v>2.4609999999999999</v>
      </c>
      <c r="AW38" s="35">
        <f t="shared" si="58"/>
        <v>0.66155913978494618</v>
      </c>
      <c r="AX38" s="46">
        <v>2.4500000000000002</v>
      </c>
      <c r="AY38" s="35">
        <f t="shared" si="59"/>
        <v>0.65860215053763438</v>
      </c>
      <c r="AZ38" s="46">
        <v>2.4140000000000001</v>
      </c>
      <c r="BA38" s="35">
        <f t="shared" si="60"/>
        <v>0.6489247311827957</v>
      </c>
      <c r="BB38" s="46">
        <v>2.379</v>
      </c>
      <c r="BC38" s="35">
        <f t="shared" si="61"/>
        <v>0.63951612903225807</v>
      </c>
      <c r="BD38" s="46">
        <v>2.3719999999999999</v>
      </c>
      <c r="BE38" s="35">
        <f t="shared" si="62"/>
        <v>0.63763440860215048</v>
      </c>
      <c r="BF38" s="46">
        <v>2.4790000000000001</v>
      </c>
      <c r="BG38" s="35">
        <f t="shared" si="63"/>
        <v>0.66639784946236558</v>
      </c>
      <c r="BH38" s="46">
        <v>2.6040000000000001</v>
      </c>
      <c r="BI38" s="35">
        <f t="shared" si="64"/>
        <v>0.7</v>
      </c>
      <c r="BJ38" s="46">
        <v>2.78</v>
      </c>
      <c r="BK38" s="35">
        <f t="shared" si="65"/>
        <v>0.74731182795698914</v>
      </c>
      <c r="BL38" s="36" t="s">
        <v>42</v>
      </c>
    </row>
    <row r="39" spans="1:65">
      <c r="A39" s="38" t="s">
        <v>98</v>
      </c>
      <c r="B39" s="38" t="s">
        <v>110</v>
      </c>
      <c r="C39" s="39">
        <v>29</v>
      </c>
      <c r="D39" s="98" t="s">
        <v>111</v>
      </c>
      <c r="E39" s="42">
        <v>14</v>
      </c>
      <c r="F39" s="42">
        <v>14</v>
      </c>
      <c r="G39" s="42">
        <v>14</v>
      </c>
      <c r="H39" s="42">
        <v>14</v>
      </c>
      <c r="I39" s="42">
        <v>14</v>
      </c>
      <c r="J39" s="42">
        <v>14</v>
      </c>
      <c r="K39" s="42">
        <v>14</v>
      </c>
      <c r="L39" s="43">
        <v>14</v>
      </c>
      <c r="M39" s="44">
        <v>14</v>
      </c>
      <c r="N39" s="44">
        <v>14</v>
      </c>
      <c r="O39" s="45">
        <v>14</v>
      </c>
      <c r="P39" s="45">
        <v>14</v>
      </c>
      <c r="Q39" s="45">
        <v>14</v>
      </c>
      <c r="R39" s="45">
        <v>14</v>
      </c>
      <c r="S39" s="45">
        <v>14</v>
      </c>
      <c r="T39" s="46">
        <v>7.3410000000000002</v>
      </c>
      <c r="U39" s="35">
        <f t="shared" si="21"/>
        <v>0.52435714285714285</v>
      </c>
      <c r="V39" s="46">
        <v>6.7649999999999997</v>
      </c>
      <c r="W39" s="35">
        <f t="shared" si="45"/>
        <v>0.48321428571428571</v>
      </c>
      <c r="X39" s="46">
        <v>10.173999999999999</v>
      </c>
      <c r="Y39" s="35">
        <f t="shared" si="46"/>
        <v>0.72671428571428565</v>
      </c>
      <c r="Z39" s="46">
        <v>11.331</v>
      </c>
      <c r="AA39" s="35">
        <f t="shared" si="47"/>
        <v>0.80935714285714278</v>
      </c>
      <c r="AB39" s="46">
        <v>13.436999999999999</v>
      </c>
      <c r="AC39" s="35">
        <f t="shared" si="48"/>
        <v>0.95978571428571424</v>
      </c>
      <c r="AD39" s="46">
        <v>13.734</v>
      </c>
      <c r="AE39" s="35">
        <f t="shared" si="49"/>
        <v>0.98099999999999998</v>
      </c>
      <c r="AF39" s="46">
        <v>13.736000000000001</v>
      </c>
      <c r="AG39" s="35">
        <f t="shared" si="50"/>
        <v>0.98114285714285721</v>
      </c>
      <c r="AH39" s="46">
        <v>13.898999999999999</v>
      </c>
      <c r="AI39" s="35">
        <f t="shared" si="51"/>
        <v>0.99278571428571427</v>
      </c>
      <c r="AJ39" s="46">
        <v>13.753</v>
      </c>
      <c r="AK39" s="35">
        <f t="shared" si="52"/>
        <v>0.98235714285714282</v>
      </c>
      <c r="AL39" s="46">
        <v>13.712</v>
      </c>
      <c r="AM39" s="35">
        <f t="shared" si="53"/>
        <v>0.97942857142857143</v>
      </c>
      <c r="AN39" s="46">
        <v>12.807</v>
      </c>
      <c r="AO39" s="35">
        <f t="shared" si="54"/>
        <v>0.91478571428571431</v>
      </c>
      <c r="AP39" s="46">
        <v>10.878</v>
      </c>
      <c r="AQ39" s="35">
        <f t="shared" si="55"/>
        <v>0.77700000000000002</v>
      </c>
      <c r="AR39" s="46">
        <v>9.3314000000000004</v>
      </c>
      <c r="AS39" s="35">
        <f t="shared" si="56"/>
        <v>0.66652857142857147</v>
      </c>
      <c r="AT39" s="46">
        <v>8.5500000000000007</v>
      </c>
      <c r="AU39" s="35">
        <f t="shared" si="57"/>
        <v>0.61071428571428577</v>
      </c>
      <c r="AV39" s="46">
        <v>6.69</v>
      </c>
      <c r="AW39" s="35">
        <f t="shared" si="58"/>
        <v>0.47785714285714287</v>
      </c>
      <c r="AX39" s="46">
        <v>7.0709999999999997</v>
      </c>
      <c r="AY39" s="35">
        <f t="shared" si="59"/>
        <v>0.5050714285714285</v>
      </c>
      <c r="AZ39" s="46">
        <v>6.9119999999999999</v>
      </c>
      <c r="BA39" s="35">
        <f t="shared" si="60"/>
        <v>0.49371428571428572</v>
      </c>
      <c r="BB39" s="46">
        <v>6.9169999999999998</v>
      </c>
      <c r="BC39" s="35">
        <f t="shared" si="61"/>
        <v>0.49407142857142855</v>
      </c>
      <c r="BD39" s="46">
        <v>7.0350000000000001</v>
      </c>
      <c r="BE39" s="35">
        <f t="shared" si="62"/>
        <v>0.50250000000000006</v>
      </c>
      <c r="BF39" s="46">
        <v>8.5739999999999998</v>
      </c>
      <c r="BG39" s="35">
        <f t="shared" si="63"/>
        <v>0.61242857142857143</v>
      </c>
      <c r="BH39" s="46">
        <v>6.9059999999999997</v>
      </c>
      <c r="BI39" s="35">
        <f t="shared" si="64"/>
        <v>0.49328571428571427</v>
      </c>
      <c r="BJ39" s="46">
        <v>7.3259999999999996</v>
      </c>
      <c r="BK39" s="35">
        <f t="shared" si="65"/>
        <v>0.52328571428571424</v>
      </c>
      <c r="BL39" s="36" t="s">
        <v>42</v>
      </c>
    </row>
    <row r="40" spans="1:65">
      <c r="A40" s="38" t="s">
        <v>98</v>
      </c>
      <c r="B40" s="38" t="s">
        <v>112</v>
      </c>
      <c r="C40" s="39">
        <v>15</v>
      </c>
      <c r="D40" s="98" t="s">
        <v>113</v>
      </c>
      <c r="E40" s="42">
        <v>2.9249999999999998</v>
      </c>
      <c r="F40" s="42">
        <v>2.9249999999999998</v>
      </c>
      <c r="G40" s="42">
        <v>2.9249999999999998</v>
      </c>
      <c r="H40" s="42">
        <v>2.9249999999999998</v>
      </c>
      <c r="I40" s="42">
        <v>2.9249999999999998</v>
      </c>
      <c r="J40" s="42">
        <v>2.9249999999999998</v>
      </c>
      <c r="K40" s="42">
        <v>2.9249999999999998</v>
      </c>
      <c r="L40" s="43">
        <v>2.9249999999999998</v>
      </c>
      <c r="M40" s="44">
        <v>2.9249999999999998</v>
      </c>
      <c r="N40" s="44">
        <v>2.9249999999999998</v>
      </c>
      <c r="O40" s="45">
        <v>2.9249999999999998</v>
      </c>
      <c r="P40" s="45">
        <v>2.9249999999999998</v>
      </c>
      <c r="Q40" s="45">
        <v>2.9249999999999998</v>
      </c>
      <c r="R40" s="45">
        <v>2.9249999999999998</v>
      </c>
      <c r="S40" s="45">
        <v>2.9249999999999998</v>
      </c>
      <c r="T40" s="46">
        <v>1.42</v>
      </c>
      <c r="U40" s="35">
        <f t="shared" si="21"/>
        <v>0.48547008547008547</v>
      </c>
      <c r="V40" s="46">
        <v>1.48</v>
      </c>
      <c r="W40" s="35">
        <f t="shared" si="45"/>
        <v>0.50598290598290596</v>
      </c>
      <c r="X40" s="46">
        <v>1.6579999999999999</v>
      </c>
      <c r="Y40" s="35">
        <f t="shared" si="46"/>
        <v>0.56683760683760687</v>
      </c>
      <c r="Z40" s="46">
        <v>2.0259999999999998</v>
      </c>
      <c r="AA40" s="35">
        <f t="shared" si="47"/>
        <v>0.69264957264957261</v>
      </c>
      <c r="AB40" s="46">
        <v>2.1949999999999998</v>
      </c>
      <c r="AC40" s="35">
        <f t="shared" si="48"/>
        <v>0.75042735042735043</v>
      </c>
      <c r="AD40" s="46">
        <v>2.2475999999999998</v>
      </c>
      <c r="AE40" s="35">
        <f t="shared" si="49"/>
        <v>0.7684102564102564</v>
      </c>
      <c r="AF40" s="46">
        <v>2.2437999999999998</v>
      </c>
      <c r="AG40" s="35">
        <f t="shared" si="50"/>
        <v>0.76711111111111108</v>
      </c>
      <c r="AH40" s="46">
        <v>2.2288000000000001</v>
      </c>
      <c r="AI40" s="35">
        <f t="shared" si="51"/>
        <v>0.76198290598290608</v>
      </c>
      <c r="AJ40" s="46">
        <v>2.2401</v>
      </c>
      <c r="AK40" s="35">
        <f t="shared" si="52"/>
        <v>0.76584615384615384</v>
      </c>
      <c r="AL40" s="46">
        <v>2.2199</v>
      </c>
      <c r="AM40" s="35">
        <f t="shared" si="53"/>
        <v>0.75894017094017097</v>
      </c>
      <c r="AN40" s="46">
        <v>2.1307999999999998</v>
      </c>
      <c r="AO40" s="35">
        <f t="shared" si="54"/>
        <v>0.72847863247863243</v>
      </c>
      <c r="AP40" s="46">
        <v>2.0078</v>
      </c>
      <c r="AQ40" s="35">
        <f t="shared" si="55"/>
        <v>0.68642735042735048</v>
      </c>
      <c r="AR40" s="46">
        <v>1.8987000000000001</v>
      </c>
      <c r="AS40" s="35">
        <f t="shared" si="56"/>
        <v>0.64912820512820524</v>
      </c>
      <c r="AT40" s="46">
        <v>1.8501000000000001</v>
      </c>
      <c r="AU40" s="35">
        <f t="shared" si="57"/>
        <v>0.63251282051282054</v>
      </c>
      <c r="AV40" s="46">
        <v>1.7709999999999999</v>
      </c>
      <c r="AW40" s="35">
        <f t="shared" si="58"/>
        <v>0.60547008547008552</v>
      </c>
      <c r="AX40" s="46">
        <v>1.774</v>
      </c>
      <c r="AY40" s="35">
        <f t="shared" si="59"/>
        <v>0.60649572649572658</v>
      </c>
      <c r="AZ40" s="46">
        <v>1.7470000000000001</v>
      </c>
      <c r="BA40" s="35">
        <f t="shared" si="60"/>
        <v>0.59726495726495732</v>
      </c>
      <c r="BB40" s="46">
        <v>1.712</v>
      </c>
      <c r="BC40" s="35">
        <f t="shared" si="61"/>
        <v>0.58529914529914528</v>
      </c>
      <c r="BD40" s="46">
        <v>1.7</v>
      </c>
      <c r="BE40" s="35">
        <f t="shared" si="62"/>
        <v>0.58119658119658124</v>
      </c>
      <c r="BF40" s="46">
        <v>1.7</v>
      </c>
      <c r="BG40" s="35">
        <f t="shared" si="63"/>
        <v>0.58119658119658124</v>
      </c>
      <c r="BH40" s="46">
        <v>1.724</v>
      </c>
      <c r="BI40" s="35">
        <f t="shared" si="64"/>
        <v>0.58940170940170944</v>
      </c>
      <c r="BJ40" s="46">
        <v>1.746</v>
      </c>
      <c r="BK40" s="35">
        <f t="shared" si="65"/>
        <v>0.596923076923077</v>
      </c>
      <c r="BL40" s="36" t="s">
        <v>42</v>
      </c>
    </row>
    <row r="41" spans="1:65">
      <c r="A41" s="38" t="s">
        <v>98</v>
      </c>
      <c r="B41" s="38" t="s">
        <v>114</v>
      </c>
      <c r="C41" s="39">
        <v>46</v>
      </c>
      <c r="D41" s="98" t="s">
        <v>115</v>
      </c>
      <c r="E41" s="42">
        <v>1.75</v>
      </c>
      <c r="F41" s="42">
        <v>1.75</v>
      </c>
      <c r="G41" s="42">
        <v>1.75</v>
      </c>
      <c r="H41" s="42">
        <v>1.75</v>
      </c>
      <c r="I41" s="42">
        <v>1.75</v>
      </c>
      <c r="J41" s="42">
        <v>1.75</v>
      </c>
      <c r="K41" s="42">
        <v>1.75</v>
      </c>
      <c r="L41" s="43">
        <v>1.75</v>
      </c>
      <c r="M41" s="44">
        <v>1.75</v>
      </c>
      <c r="N41" s="44">
        <v>1.67</v>
      </c>
      <c r="O41" s="45">
        <v>1.67</v>
      </c>
      <c r="P41" s="45">
        <v>1.67</v>
      </c>
      <c r="Q41" s="45">
        <v>1.67</v>
      </c>
      <c r="R41" s="45">
        <v>1.67</v>
      </c>
      <c r="S41" s="45">
        <v>1.67</v>
      </c>
      <c r="T41" s="46">
        <v>1.67</v>
      </c>
      <c r="U41" s="35">
        <f t="shared" si="21"/>
        <v>1</v>
      </c>
      <c r="V41" s="46">
        <v>1.63</v>
      </c>
      <c r="W41" s="35">
        <f t="shared" si="45"/>
        <v>0.9760479041916168</v>
      </c>
      <c r="X41" s="46">
        <v>1.6419999999999999</v>
      </c>
      <c r="Y41" s="35">
        <f t="shared" si="46"/>
        <v>0.98323353293413174</v>
      </c>
      <c r="Z41" s="46">
        <v>1.6459999999999999</v>
      </c>
      <c r="AA41" s="35">
        <f t="shared" si="47"/>
        <v>0.98562874251497001</v>
      </c>
      <c r="AB41" s="46">
        <v>1.67</v>
      </c>
      <c r="AC41" s="35">
        <f t="shared" si="48"/>
        <v>1</v>
      </c>
      <c r="AD41" s="46">
        <v>1.6244000000000001</v>
      </c>
      <c r="AE41" s="35">
        <f t="shared" si="49"/>
        <v>0.97269461077844321</v>
      </c>
      <c r="AF41" s="46">
        <v>1.6033999999999999</v>
      </c>
      <c r="AG41" s="35">
        <f t="shared" si="50"/>
        <v>0.96011976047904191</v>
      </c>
      <c r="AH41" s="46">
        <v>1.5783</v>
      </c>
      <c r="AI41" s="35">
        <f t="shared" si="51"/>
        <v>0.94508982035928146</v>
      </c>
      <c r="AJ41" s="46">
        <v>1.5818000000000001</v>
      </c>
      <c r="AK41" s="35">
        <f t="shared" si="52"/>
        <v>0.94718562874251511</v>
      </c>
      <c r="AL41" s="46">
        <v>1.5579000000000001</v>
      </c>
      <c r="AM41" s="35">
        <f t="shared" si="53"/>
        <v>0.93287425149700609</v>
      </c>
      <c r="AN41" s="46">
        <v>1.4095</v>
      </c>
      <c r="AO41" s="35">
        <f t="shared" si="54"/>
        <v>0.84401197604790423</v>
      </c>
      <c r="AP41" s="46">
        <v>1.2141</v>
      </c>
      <c r="AQ41" s="35">
        <f t="shared" si="55"/>
        <v>0.72700598802395211</v>
      </c>
      <c r="AR41" s="46">
        <v>1.0385</v>
      </c>
      <c r="AS41" s="35">
        <f t="shared" si="56"/>
        <v>0.62185628742514976</v>
      </c>
      <c r="AT41" s="46">
        <v>0.879</v>
      </c>
      <c r="AU41" s="35">
        <f t="shared" si="57"/>
        <v>0.52634730538922159</v>
      </c>
      <c r="AV41">
        <v>0.59</v>
      </c>
      <c r="AW41" s="35">
        <f t="shared" si="58"/>
        <v>0.3532934131736527</v>
      </c>
      <c r="AX41" s="46">
        <v>0.56699999999999995</v>
      </c>
      <c r="AY41" s="35">
        <f t="shared" si="59"/>
        <v>0.33952095808383231</v>
      </c>
      <c r="AZ41" s="46">
        <v>0.53</v>
      </c>
      <c r="BA41" s="35">
        <f t="shared" si="60"/>
        <v>0.31736526946107785</v>
      </c>
      <c r="BB41" s="46">
        <v>0.499</v>
      </c>
      <c r="BC41" s="35">
        <f t="shared" si="61"/>
        <v>0.29880239520958085</v>
      </c>
      <c r="BD41" s="46">
        <v>0.495</v>
      </c>
      <c r="BE41" s="35">
        <f t="shared" si="62"/>
        <v>0.29640718562874252</v>
      </c>
      <c r="BF41" s="46">
        <v>0.57099999999999995</v>
      </c>
      <c r="BG41" s="35">
        <f t="shared" si="63"/>
        <v>0.34191616766467064</v>
      </c>
      <c r="BH41" s="398">
        <v>0.61199999999999999</v>
      </c>
      <c r="BI41" s="35">
        <f t="shared" si="64"/>
        <v>0.3664670658682635</v>
      </c>
      <c r="BJ41" s="46">
        <v>0.81</v>
      </c>
      <c r="BK41" s="35">
        <f t="shared" si="65"/>
        <v>0.48502994011976053</v>
      </c>
      <c r="BL41" s="36" t="s">
        <v>42</v>
      </c>
    </row>
    <row r="42" spans="1:65" ht="11.25" customHeight="1">
      <c r="A42" s="38" t="s">
        <v>98</v>
      </c>
      <c r="B42" s="38" t="s">
        <v>116</v>
      </c>
      <c r="C42" s="39" t="s">
        <v>117</v>
      </c>
      <c r="D42" s="98" t="s">
        <v>118</v>
      </c>
      <c r="E42" s="42"/>
      <c r="F42" s="42"/>
      <c r="G42" s="42"/>
      <c r="H42" s="42"/>
      <c r="I42" s="42"/>
      <c r="J42" s="42"/>
      <c r="K42" s="42"/>
      <c r="L42" s="43"/>
      <c r="M42" s="44"/>
      <c r="N42" s="44"/>
      <c r="O42" s="45"/>
      <c r="P42" s="45"/>
      <c r="Q42" s="45">
        <v>4.95</v>
      </c>
      <c r="R42" s="45">
        <v>4.95</v>
      </c>
      <c r="S42" s="45">
        <v>4.95</v>
      </c>
      <c r="T42" s="46">
        <v>3.7109999999999999</v>
      </c>
      <c r="U42" s="35">
        <f t="shared" si="21"/>
        <v>0.74969696969696964</v>
      </c>
      <c r="V42" s="46">
        <v>4.2850000000000001</v>
      </c>
      <c r="W42" s="35">
        <f t="shared" si="45"/>
        <v>0.86565656565656568</v>
      </c>
      <c r="X42" s="46">
        <v>4.6820000000000004</v>
      </c>
      <c r="Y42" s="35">
        <f t="shared" si="46"/>
        <v>0.94585858585858595</v>
      </c>
      <c r="Z42" s="46">
        <v>4.9390000000000001</v>
      </c>
      <c r="AA42" s="35">
        <f t="shared" si="47"/>
        <v>0.99777777777777776</v>
      </c>
      <c r="AB42" s="46">
        <v>4.95</v>
      </c>
      <c r="AC42" s="35">
        <f t="shared" si="48"/>
        <v>1</v>
      </c>
      <c r="AD42" s="46">
        <v>4.9268000000000001</v>
      </c>
      <c r="AE42" s="35">
        <f t="shared" si="49"/>
        <v>0.99531313131313126</v>
      </c>
      <c r="AF42" s="46">
        <v>4.9147999999999996</v>
      </c>
      <c r="AG42" s="35">
        <f t="shared" si="50"/>
        <v>0.99288888888888882</v>
      </c>
      <c r="AH42" s="46">
        <v>4.9245999999999999</v>
      </c>
      <c r="AI42" s="35">
        <f t="shared" si="51"/>
        <v>0.99486868686868679</v>
      </c>
      <c r="AJ42" s="46">
        <v>4.9204999999999997</v>
      </c>
      <c r="AK42" s="35">
        <f t="shared" si="52"/>
        <v>0.99404040404040395</v>
      </c>
      <c r="AL42" s="46">
        <v>4.9081000000000001</v>
      </c>
      <c r="AM42" s="35">
        <f t="shared" si="53"/>
        <v>0.99153535353535349</v>
      </c>
      <c r="AN42" s="46">
        <v>4.7771999999999997</v>
      </c>
      <c r="AO42" s="35">
        <f t="shared" si="54"/>
        <v>0.965090909090909</v>
      </c>
      <c r="AP42" s="46">
        <v>4.5709</v>
      </c>
      <c r="AQ42" s="35">
        <f t="shared" si="55"/>
        <v>0.92341414141414135</v>
      </c>
      <c r="AR42" s="46">
        <v>4.3592000000000004</v>
      </c>
      <c r="AS42" s="35">
        <f t="shared" si="56"/>
        <v>0.88064646464646468</v>
      </c>
      <c r="AT42" s="46">
        <v>4.2104999999999997</v>
      </c>
      <c r="AU42" s="35">
        <f t="shared" si="57"/>
        <v>0.85060606060606048</v>
      </c>
      <c r="AV42" s="46">
        <v>3.5990000000000002</v>
      </c>
      <c r="AW42" s="35">
        <f t="shared" si="58"/>
        <v>0.72707070707070709</v>
      </c>
      <c r="AX42" s="46">
        <v>3.66</v>
      </c>
      <c r="AY42" s="35">
        <f t="shared" si="59"/>
        <v>0.73939393939393938</v>
      </c>
      <c r="AZ42" s="46">
        <v>3.6259999999999999</v>
      </c>
      <c r="BA42" s="35">
        <f t="shared" si="60"/>
        <v>0.73252525252525247</v>
      </c>
      <c r="BB42" s="46">
        <v>3.5950000000000002</v>
      </c>
      <c r="BC42" s="35">
        <f t="shared" si="61"/>
        <v>0.72626262626262628</v>
      </c>
      <c r="BD42" s="46">
        <v>3.6160000000000001</v>
      </c>
      <c r="BE42" s="35">
        <f t="shared" si="62"/>
        <v>0.73050505050505055</v>
      </c>
      <c r="BF42" s="46">
        <v>3.9279999999999999</v>
      </c>
      <c r="BG42" s="35">
        <f t="shared" si="63"/>
        <v>0.79353535353535354</v>
      </c>
      <c r="BH42" s="46">
        <v>4.2140000000000004</v>
      </c>
      <c r="BI42" s="35">
        <f t="shared" si="64"/>
        <v>0.85131313131313135</v>
      </c>
      <c r="BJ42" s="46">
        <v>4.5880000000000001</v>
      </c>
      <c r="BK42" s="35">
        <f t="shared" si="65"/>
        <v>0.92686868686868684</v>
      </c>
      <c r="BL42" s="36" t="s">
        <v>42</v>
      </c>
    </row>
    <row r="43" spans="1:65" s="73" customFormat="1" ht="13.5" customHeight="1" thickBot="1">
      <c r="A43" s="414" t="s">
        <v>119</v>
      </c>
      <c r="B43" s="414"/>
      <c r="C43" s="122"/>
      <c r="D43" s="123"/>
      <c r="E43" s="65">
        <f t="shared" ref="E43:O43" si="66">SUM(E33:E41)</f>
        <v>64.094999999999999</v>
      </c>
      <c r="F43" s="65">
        <f t="shared" si="66"/>
        <v>64.094999999999999</v>
      </c>
      <c r="G43" s="65">
        <f t="shared" si="66"/>
        <v>64.094999999999999</v>
      </c>
      <c r="H43" s="65">
        <f t="shared" si="66"/>
        <v>64.094999999999999</v>
      </c>
      <c r="I43" s="65">
        <f t="shared" si="66"/>
        <v>64.094999999999999</v>
      </c>
      <c r="J43" s="65">
        <f t="shared" si="66"/>
        <v>64.094999999999999</v>
      </c>
      <c r="K43" s="65">
        <f t="shared" si="66"/>
        <v>64.594999999999999</v>
      </c>
      <c r="L43" s="66">
        <f t="shared" si="66"/>
        <v>64.594999999999999</v>
      </c>
      <c r="M43" s="131">
        <f t="shared" si="66"/>
        <v>64.594999999999999</v>
      </c>
      <c r="N43" s="131">
        <f t="shared" si="66"/>
        <v>64.515000000000001</v>
      </c>
      <c r="O43" s="132">
        <f t="shared" si="66"/>
        <v>64.515000000000001</v>
      </c>
      <c r="P43" s="132">
        <v>64.515000000000001</v>
      </c>
      <c r="Q43" s="132">
        <f>SUM(Q33:Q42)</f>
        <v>69.465000000000003</v>
      </c>
      <c r="R43" s="132">
        <f>SUM(R33:R42)</f>
        <v>69.465000000000003</v>
      </c>
      <c r="S43" s="132">
        <f>SUM(S33:S42)</f>
        <v>69.465000000000003</v>
      </c>
      <c r="T43" s="69">
        <f>SUM(T33:T42)</f>
        <v>52.396000000000001</v>
      </c>
      <c r="U43" s="35">
        <f t="shared" si="21"/>
        <v>0.75427913337652053</v>
      </c>
      <c r="V43" s="69">
        <f>SUM(V33:V42)</f>
        <v>55.625999999999991</v>
      </c>
      <c r="W43" s="35">
        <f t="shared" si="45"/>
        <v>0.80077736989850989</v>
      </c>
      <c r="X43" s="69">
        <f>SUM(X33:X42)</f>
        <v>64.016000000000005</v>
      </c>
      <c r="Y43" s="35">
        <f t="shared" si="46"/>
        <v>0.92155761894479238</v>
      </c>
      <c r="Z43" s="69">
        <f>SUM(Z33:Z42)</f>
        <v>65.771999999999991</v>
      </c>
      <c r="AA43" s="35">
        <f t="shared" si="47"/>
        <v>0.9468365363852298</v>
      </c>
      <c r="AB43" s="69">
        <f>SUM(AB33:AB42)</f>
        <v>68.08</v>
      </c>
      <c r="AC43" s="35">
        <f t="shared" si="48"/>
        <v>0.9800619016771035</v>
      </c>
      <c r="AD43" s="69">
        <f>SUM(AD33:AD42)</f>
        <v>68.388100000000009</v>
      </c>
      <c r="AE43" s="35">
        <f t="shared" si="49"/>
        <v>0.98449722882026924</v>
      </c>
      <c r="AF43" s="69">
        <f>SUM(AF33:AF42)</f>
        <v>68.359099999999998</v>
      </c>
      <c r="AG43" s="35">
        <f t="shared" si="50"/>
        <v>0.98407975239329148</v>
      </c>
      <c r="AH43" s="69">
        <f>SUM(AH33:AH42)</f>
        <v>68.367599999999996</v>
      </c>
      <c r="AI43" s="35">
        <f t="shared" si="51"/>
        <v>0.98420211617361253</v>
      </c>
      <c r="AJ43" s="69">
        <f>SUM(AJ33:AJ42)</f>
        <v>68.246430000000004</v>
      </c>
      <c r="AK43" s="35">
        <f t="shared" si="52"/>
        <v>0.98245778449578924</v>
      </c>
      <c r="AL43" s="69">
        <f>SUM(AL33:AL42)</f>
        <v>67.812600000000003</v>
      </c>
      <c r="AM43" s="35">
        <f t="shared" si="53"/>
        <v>0.97621248110559278</v>
      </c>
      <c r="AN43" s="69">
        <f>SUM(AN33:AN42)</f>
        <v>63.369700000000002</v>
      </c>
      <c r="AO43" s="35">
        <f t="shared" si="54"/>
        <v>0.91225365291873606</v>
      </c>
      <c r="AP43" s="69">
        <f>SUM(AP33:AP42)</f>
        <v>55.657500000000006</v>
      </c>
      <c r="AQ43" s="35">
        <f t="shared" si="55"/>
        <v>0.80123083567264097</v>
      </c>
      <c r="AR43" s="69">
        <f>SUM(AR33:AR42)</f>
        <v>49.174599999999998</v>
      </c>
      <c r="AS43" s="35">
        <f t="shared" si="56"/>
        <v>0.70790470020873819</v>
      </c>
      <c r="AT43" s="69">
        <f>SUM(AT33:AT42)</f>
        <v>45.396200000000007</v>
      </c>
      <c r="AU43" s="35">
        <f t="shared" si="57"/>
        <v>0.65351184049521349</v>
      </c>
      <c r="AV43" s="69">
        <f>SUM(AV33:AV42)</f>
        <v>38.521000000000001</v>
      </c>
      <c r="AW43" s="35">
        <f t="shared" si="58"/>
        <v>0.55453825667602386</v>
      </c>
      <c r="AX43" s="69">
        <f>SUM(AX33:AX42)</f>
        <v>38.978999999999999</v>
      </c>
      <c r="AY43" s="35">
        <f t="shared" si="59"/>
        <v>0.56113150507449794</v>
      </c>
      <c r="AZ43" s="69">
        <f>SUM(AZ33:AZ42)</f>
        <v>38.780999999999999</v>
      </c>
      <c r="BA43" s="35">
        <f t="shared" si="60"/>
        <v>0.55828114877996105</v>
      </c>
      <c r="BB43" s="69">
        <f>SUM(BB33:BB42)</f>
        <v>38.644000000000005</v>
      </c>
      <c r="BC43" s="35">
        <f t="shared" si="61"/>
        <v>0.55630893255596348</v>
      </c>
      <c r="BD43" s="69">
        <f>SUM(BD33:BD42)</f>
        <v>38.940999999999995</v>
      </c>
      <c r="BE43" s="35">
        <f t="shared" si="62"/>
        <v>0.56058446699776854</v>
      </c>
      <c r="BF43" s="69">
        <f>SUM(BF33:BF42)</f>
        <v>42.336999999999996</v>
      </c>
      <c r="BG43" s="35">
        <f t="shared" si="63"/>
        <v>0.60947239617073334</v>
      </c>
      <c r="BH43" s="69">
        <f>SUM(BH33:BH42)</f>
        <v>43.908000000000001</v>
      </c>
      <c r="BI43" s="35">
        <f t="shared" si="64"/>
        <v>0.63208810192183118</v>
      </c>
      <c r="BJ43" s="69">
        <f>SUM(BJ33:BJ42)</f>
        <v>50.327000000000005</v>
      </c>
      <c r="BK43" s="35">
        <f t="shared" si="65"/>
        <v>0.72449434967249693</v>
      </c>
      <c r="BL43" s="71"/>
      <c r="BM43" s="72"/>
    </row>
    <row r="44" spans="1:65" ht="6" customHeight="1" thickBot="1">
      <c r="A44" s="102"/>
      <c r="B44" s="102"/>
      <c r="C44" s="103"/>
      <c r="D44" s="104"/>
      <c r="E44" s="96"/>
      <c r="F44" s="96"/>
      <c r="G44" s="96"/>
      <c r="H44" s="96"/>
      <c r="I44" s="96"/>
      <c r="J44" s="96"/>
      <c r="K44" s="96"/>
      <c r="L44" s="105"/>
      <c r="M44" s="128"/>
      <c r="N44" s="128"/>
      <c r="O44" s="129"/>
      <c r="P44" s="129"/>
      <c r="Q44" s="129"/>
      <c r="R44" s="129"/>
      <c r="S44" s="129"/>
      <c r="T44" s="80"/>
      <c r="U44" s="81"/>
      <c r="V44" s="80"/>
      <c r="W44" s="81"/>
      <c r="X44" s="80"/>
      <c r="Y44" s="81"/>
      <c r="Z44" s="80"/>
      <c r="AA44" s="81"/>
      <c r="AB44" s="80"/>
      <c r="AC44" s="81"/>
      <c r="AD44" s="80"/>
      <c r="AE44" s="81"/>
      <c r="AF44" s="80"/>
      <c r="AG44" s="81"/>
      <c r="AH44" s="80"/>
      <c r="AI44" s="81"/>
      <c r="AJ44" s="80"/>
      <c r="AK44" s="81"/>
      <c r="AL44" s="80"/>
      <c r="AM44" s="81"/>
      <c r="AN44" s="80"/>
      <c r="AO44" s="81"/>
      <c r="AP44" s="80"/>
      <c r="AQ44" s="81"/>
      <c r="AR44" s="80"/>
      <c r="AS44" s="81"/>
      <c r="AT44" s="80"/>
      <c r="AU44" s="81"/>
      <c r="AV44" s="80"/>
      <c r="AW44" s="81"/>
      <c r="AX44" s="80"/>
      <c r="AY44" s="81"/>
      <c r="AZ44" s="80"/>
      <c r="BA44" s="81"/>
      <c r="BB44" s="80"/>
      <c r="BC44" s="81"/>
      <c r="BD44" s="80"/>
      <c r="BE44" s="81"/>
      <c r="BF44" s="80"/>
      <c r="BG44" s="81"/>
      <c r="BH44" s="80"/>
      <c r="BI44" s="81"/>
      <c r="BJ44" s="80"/>
      <c r="BK44" s="81"/>
      <c r="BL44" s="82"/>
    </row>
    <row r="45" spans="1:65" s="73" customFormat="1" ht="13.5" thickBot="1">
      <c r="A45" s="97" t="s">
        <v>120</v>
      </c>
      <c r="B45" s="38" t="s">
        <v>121</v>
      </c>
      <c r="C45" s="39">
        <v>3</v>
      </c>
      <c r="D45" s="98" t="s">
        <v>122</v>
      </c>
      <c r="E45" s="65">
        <v>8.1999999999999993</v>
      </c>
      <c r="F45" s="65">
        <v>8.1999999999999993</v>
      </c>
      <c r="G45" s="65">
        <v>8.1999999999999993</v>
      </c>
      <c r="H45" s="65">
        <v>8.1999999999999993</v>
      </c>
      <c r="I45" s="65">
        <v>8.1999999999999993</v>
      </c>
      <c r="J45" s="65">
        <v>8.1999999999999993</v>
      </c>
      <c r="K45" s="87">
        <v>8.1999999999999993</v>
      </c>
      <c r="L45" s="88">
        <v>8.1999999999999993</v>
      </c>
      <c r="M45" s="133">
        <v>8.1999999999999993</v>
      </c>
      <c r="N45" s="133">
        <v>8.1999999999999993</v>
      </c>
      <c r="O45" s="134">
        <v>8.1999999999999993</v>
      </c>
      <c r="P45" s="134">
        <v>8.1999999999999993</v>
      </c>
      <c r="Q45" s="134">
        <v>8.1999999999999993</v>
      </c>
      <c r="R45" s="134">
        <v>8.1999999999999993</v>
      </c>
      <c r="S45" s="134">
        <v>8.1999999999999993</v>
      </c>
      <c r="T45" s="135">
        <v>8.1999999999999993</v>
      </c>
      <c r="U45" s="35">
        <f t="shared" si="21"/>
        <v>1</v>
      </c>
      <c r="V45" s="135">
        <v>8.1999999999999993</v>
      </c>
      <c r="W45" s="35">
        <f>V45/$S45</f>
        <v>1</v>
      </c>
      <c r="X45" s="135">
        <v>8.1999999999999993</v>
      </c>
      <c r="Y45" s="35">
        <f>X45/$S45</f>
        <v>1</v>
      </c>
      <c r="Z45" s="135">
        <v>8.1999999999999993</v>
      </c>
      <c r="AA45" s="35">
        <f>Z45/$S45</f>
        <v>1</v>
      </c>
      <c r="AB45" s="135">
        <v>8.1999999999999993</v>
      </c>
      <c r="AC45" s="35">
        <f>AB45/$S45</f>
        <v>1</v>
      </c>
      <c r="AD45" s="135">
        <v>8.1999999999999993</v>
      </c>
      <c r="AE45" s="35">
        <f>AD45/$S45</f>
        <v>1</v>
      </c>
      <c r="AF45" s="135">
        <v>8.1999999999999993</v>
      </c>
      <c r="AG45" s="35">
        <f>AF45/$S45</f>
        <v>1</v>
      </c>
      <c r="AH45" s="135">
        <v>8.1999999999999993</v>
      </c>
      <c r="AI45" s="35">
        <f>AH45/$S45</f>
        <v>1</v>
      </c>
      <c r="AJ45" s="135">
        <v>8.1999999999999993</v>
      </c>
      <c r="AK45" s="35">
        <f>AJ45/$S45</f>
        <v>1</v>
      </c>
      <c r="AL45" s="135">
        <v>8.19</v>
      </c>
      <c r="AM45" s="35">
        <f>AL45/$S45</f>
        <v>0.99878048780487805</v>
      </c>
      <c r="AN45" s="135">
        <v>8.25</v>
      </c>
      <c r="AO45" s="35">
        <f>AN45/$S45</f>
        <v>1.0060975609756098</v>
      </c>
      <c r="AP45" s="135">
        <v>8.2100000000000009</v>
      </c>
      <c r="AQ45" s="35">
        <f>AP45/$S45</f>
        <v>1.0012195121951222</v>
      </c>
      <c r="AR45" s="135">
        <v>8.1999999999999993</v>
      </c>
      <c r="AS45" s="35">
        <f>AR45/$S45</f>
        <v>1</v>
      </c>
      <c r="AT45" s="135">
        <v>8.15</v>
      </c>
      <c r="AU45" s="35">
        <f>AT45/$S45</f>
        <v>0.99390243902439035</v>
      </c>
      <c r="AV45" s="135">
        <v>8.08</v>
      </c>
      <c r="AW45" s="35">
        <f>AV45/$S45</f>
        <v>0.98536585365853668</v>
      </c>
      <c r="AX45" s="135">
        <v>7.84</v>
      </c>
      <c r="AY45" s="35">
        <f>AX45/$S45</f>
        <v>0.95609756097560983</v>
      </c>
      <c r="AZ45" s="135">
        <v>7.72</v>
      </c>
      <c r="BA45" s="35">
        <f>AZ45/$S45</f>
        <v>0.9414634146341464</v>
      </c>
      <c r="BB45" s="135">
        <v>7.63</v>
      </c>
      <c r="BC45" s="35">
        <f>BB45/$S45</f>
        <v>0.93048780487804883</v>
      </c>
      <c r="BD45" s="135">
        <v>7.98</v>
      </c>
      <c r="BE45" s="35">
        <f>BD45/$S45</f>
        <v>0.97317073170731716</v>
      </c>
      <c r="BF45" s="135">
        <v>8.1999999999999993</v>
      </c>
      <c r="BG45" s="35">
        <f>BF45/$S45</f>
        <v>1</v>
      </c>
      <c r="BH45" s="135">
        <v>8.1999999999999993</v>
      </c>
      <c r="BI45" s="35">
        <f>BH45/$S45</f>
        <v>1</v>
      </c>
      <c r="BJ45" s="135">
        <v>8.1999999999999993</v>
      </c>
      <c r="BK45" s="35">
        <f>BJ45/$S45</f>
        <v>1</v>
      </c>
      <c r="BL45" s="138" t="s">
        <v>123</v>
      </c>
      <c r="BM45" s="12"/>
    </row>
    <row r="46" spans="1:65" ht="5.25" customHeight="1">
      <c r="A46" s="102"/>
      <c r="B46" s="102"/>
      <c r="C46" s="103"/>
      <c r="D46" s="104"/>
      <c r="E46" s="96"/>
      <c r="F46" s="96"/>
      <c r="G46" s="96"/>
      <c r="H46" s="96"/>
      <c r="I46" s="96"/>
      <c r="J46" s="96"/>
      <c r="K46" s="96"/>
      <c r="L46" s="105"/>
      <c r="M46" s="128"/>
      <c r="N46" s="128"/>
      <c r="O46" s="129"/>
      <c r="P46" s="129"/>
      <c r="Q46" s="129"/>
      <c r="R46" s="129"/>
      <c r="S46" s="129"/>
      <c r="T46" s="80"/>
      <c r="U46" s="81"/>
      <c r="V46" s="80"/>
      <c r="W46" s="81"/>
      <c r="X46" s="80"/>
      <c r="Y46" s="81"/>
      <c r="Z46" s="80"/>
      <c r="AA46" s="81"/>
      <c r="AB46" s="80"/>
      <c r="AC46" s="81"/>
      <c r="AD46" s="80"/>
      <c r="AE46" s="81"/>
      <c r="AF46" s="80"/>
      <c r="AG46" s="81"/>
      <c r="AH46" s="80"/>
      <c r="AI46" s="81"/>
      <c r="AJ46" s="80"/>
      <c r="AK46" s="81"/>
      <c r="AL46" s="80"/>
      <c r="AM46" s="81"/>
      <c r="AN46" s="80"/>
      <c r="AO46" s="81"/>
      <c r="AP46" s="80"/>
      <c r="AQ46" s="81"/>
      <c r="AR46" s="80"/>
      <c r="AS46" s="81"/>
      <c r="AT46" s="80"/>
      <c r="AU46" s="81"/>
      <c r="AV46" s="80"/>
      <c r="AW46" s="81"/>
      <c r="AX46" s="80"/>
      <c r="AY46" s="81"/>
      <c r="AZ46" s="80"/>
      <c r="BA46" s="81"/>
      <c r="BB46" s="80"/>
      <c r="BC46" s="81"/>
      <c r="BD46" s="80"/>
      <c r="BE46" s="81"/>
      <c r="BF46" s="80"/>
      <c r="BG46" s="81"/>
      <c r="BH46" s="80"/>
      <c r="BI46" s="81"/>
      <c r="BJ46" s="80"/>
      <c r="BK46" s="81"/>
      <c r="BL46" s="82"/>
    </row>
    <row r="47" spans="1:65">
      <c r="A47" s="38" t="s">
        <v>124</v>
      </c>
      <c r="B47" s="38" t="s">
        <v>125</v>
      </c>
      <c r="C47" s="39">
        <v>10</v>
      </c>
      <c r="D47" s="98" t="s">
        <v>126</v>
      </c>
      <c r="E47" s="42">
        <v>11</v>
      </c>
      <c r="F47" s="42">
        <v>11</v>
      </c>
      <c r="G47" s="42">
        <v>11</v>
      </c>
      <c r="H47" s="42">
        <v>11</v>
      </c>
      <c r="I47" s="42">
        <v>11</v>
      </c>
      <c r="J47" s="42">
        <v>11</v>
      </c>
      <c r="K47" s="42">
        <v>10.9</v>
      </c>
      <c r="L47" s="43">
        <v>10.9</v>
      </c>
      <c r="M47" s="44">
        <v>10.9</v>
      </c>
      <c r="N47" s="44">
        <v>10.9</v>
      </c>
      <c r="O47" s="45">
        <v>10.9</v>
      </c>
      <c r="P47" s="45">
        <v>10.9</v>
      </c>
      <c r="Q47" s="139">
        <v>10.9</v>
      </c>
      <c r="R47" s="139">
        <v>10.9</v>
      </c>
      <c r="S47" s="139">
        <v>10.9</v>
      </c>
      <c r="T47" s="46">
        <v>8.7491199999999996</v>
      </c>
      <c r="U47" s="35">
        <f t="shared" si="21"/>
        <v>0.8026715596330275</v>
      </c>
      <c r="V47" s="46">
        <v>9.4550000000000001</v>
      </c>
      <c r="W47" s="35">
        <f t="shared" ref="W47:W58" si="67">V47/$S47</f>
        <v>0.86743119266055047</v>
      </c>
      <c r="X47" s="46">
        <v>10.761946999999999</v>
      </c>
      <c r="Y47" s="35">
        <f t="shared" ref="Y47:Y58" si="68">X47/$S47</f>
        <v>0.98733458715596323</v>
      </c>
      <c r="Z47" s="46">
        <v>10.821999999999999</v>
      </c>
      <c r="AA47" s="35">
        <f t="shared" ref="AA47:AA58" si="69">Z47/$S47</f>
        <v>0.99284403669724763</v>
      </c>
      <c r="AB47" s="46">
        <v>10.807</v>
      </c>
      <c r="AC47" s="35">
        <f t="shared" ref="AC47:AC58" si="70">AB47/$S47</f>
        <v>0.99146788990825685</v>
      </c>
      <c r="AD47" s="46">
        <v>10.822124000000001</v>
      </c>
      <c r="AE47" s="35">
        <f t="shared" ref="AE47:AE58" si="71">AD47/$S47</f>
        <v>0.99285541284403667</v>
      </c>
      <c r="AF47" s="46">
        <v>10.807964</v>
      </c>
      <c r="AG47" s="35">
        <f t="shared" ref="AG47:AG58" si="72">AF47/$S47</f>
        <v>0.99155633027522938</v>
      </c>
      <c r="AH47" s="46">
        <v>10.807964</v>
      </c>
      <c r="AI47" s="35">
        <f t="shared" ref="AI47:AI58" si="73">AH47/$S47</f>
        <v>0.99155633027522938</v>
      </c>
      <c r="AJ47" s="46">
        <v>10.836283</v>
      </c>
      <c r="AK47" s="35">
        <f t="shared" ref="AK47:AK58" si="74">AJ47/$S47</f>
        <v>0.99415440366972474</v>
      </c>
      <c r="AL47" s="46">
        <v>10.9</v>
      </c>
      <c r="AM47" s="35">
        <f t="shared" ref="AM47:AM58" si="75">AL47/$S47</f>
        <v>1</v>
      </c>
      <c r="AN47" s="46">
        <v>10.738186000000001</v>
      </c>
      <c r="AO47" s="35">
        <f t="shared" ref="AO47:AO58" si="76">AN47/$S47</f>
        <v>0.98515467889908259</v>
      </c>
      <c r="AP47" s="46">
        <v>10.747788</v>
      </c>
      <c r="AQ47" s="35">
        <f t="shared" ref="AQ47:AQ58" si="77">AP47/$S47</f>
        <v>0.98603559633027515</v>
      </c>
      <c r="AR47" s="46">
        <v>10.719469</v>
      </c>
      <c r="AS47" s="35">
        <f t="shared" ref="AS47:AS58" si="78">AR47/$S47</f>
        <v>0.9834375229357798</v>
      </c>
      <c r="AT47" s="46">
        <v>10.638052999999999</v>
      </c>
      <c r="AU47" s="35">
        <f t="shared" ref="AU47:AU58" si="79">AT47/$S47</f>
        <v>0.97596816513761453</v>
      </c>
      <c r="AV47" s="46">
        <v>9.75</v>
      </c>
      <c r="AW47" s="35">
        <f t="shared" ref="AW47:AW58" si="80">AV47/$S47</f>
        <v>0.89449541284403666</v>
      </c>
      <c r="AX47" s="46">
        <v>9.5589999999999993</v>
      </c>
      <c r="AY47" s="35">
        <f t="shared" ref="AY47:AY58" si="81">AX47/$S47</f>
        <v>0.8769724770642201</v>
      </c>
      <c r="AZ47" s="46">
        <v>9.4979999999999993</v>
      </c>
      <c r="BA47" s="35">
        <f t="shared" ref="BA47:BA58" si="82">AZ47/$S47</f>
        <v>0.87137614678899078</v>
      </c>
      <c r="BB47" s="46">
        <v>9.48</v>
      </c>
      <c r="BC47" s="35">
        <f t="shared" ref="BC47:BC58" si="83">BB47/$S47</f>
        <v>0.86972477064220188</v>
      </c>
      <c r="BD47" s="46">
        <v>9.91</v>
      </c>
      <c r="BE47" s="35">
        <f t="shared" ref="BE47:BE58" si="84">BD47/$S47</f>
        <v>0.90917431192660547</v>
      </c>
      <c r="BF47" s="46">
        <v>10.167999999999999</v>
      </c>
      <c r="BG47" s="35">
        <f t="shared" ref="BG47:BG58" si="85">BF47/$S47</f>
        <v>0.93284403669724758</v>
      </c>
      <c r="BH47" s="46">
        <v>10.627433</v>
      </c>
      <c r="BI47" s="35">
        <f t="shared" ref="BI47:BI58" si="86">BH47/$S47</f>
        <v>0.97499385321100918</v>
      </c>
      <c r="BJ47" s="46">
        <v>10.733000000000001</v>
      </c>
      <c r="BK47" s="35">
        <f t="shared" ref="BK47:BK58" si="87">BJ47/$S47</f>
        <v>0.98467889908256878</v>
      </c>
      <c r="BL47" s="36" t="s">
        <v>127</v>
      </c>
      <c r="BM47" s="140" t="s">
        <v>128</v>
      </c>
    </row>
    <row r="48" spans="1:65">
      <c r="A48" s="38" t="s">
        <v>124</v>
      </c>
      <c r="B48" s="38" t="s">
        <v>129</v>
      </c>
      <c r="C48" s="39">
        <v>8</v>
      </c>
      <c r="D48" s="98" t="s">
        <v>130</v>
      </c>
      <c r="E48" s="42">
        <v>18.8</v>
      </c>
      <c r="F48" s="42">
        <v>18.8</v>
      </c>
      <c r="G48" s="42">
        <v>18.8</v>
      </c>
      <c r="H48" s="42">
        <v>18.8</v>
      </c>
      <c r="I48" s="42">
        <v>18.8</v>
      </c>
      <c r="J48" s="42">
        <v>18.8</v>
      </c>
      <c r="K48" s="42">
        <v>18.8</v>
      </c>
      <c r="L48" s="43">
        <v>18.8</v>
      </c>
      <c r="M48" s="44">
        <v>18.8</v>
      </c>
      <c r="N48" s="44">
        <v>18.8</v>
      </c>
      <c r="O48" s="45">
        <v>18.8</v>
      </c>
      <c r="P48" s="45">
        <v>18.8</v>
      </c>
      <c r="Q48" s="45">
        <v>18.8</v>
      </c>
      <c r="R48" s="45">
        <v>18.8</v>
      </c>
      <c r="S48" s="45">
        <v>18.8</v>
      </c>
      <c r="T48" s="46">
        <v>10.159126000000001</v>
      </c>
      <c r="U48" s="35">
        <f t="shared" si="21"/>
        <v>0.54037904255319147</v>
      </c>
      <c r="V48" s="46">
        <v>12.5</v>
      </c>
      <c r="W48" s="35">
        <f t="shared" si="67"/>
        <v>0.66489361702127658</v>
      </c>
      <c r="X48" s="46">
        <v>16.262</v>
      </c>
      <c r="Y48" s="35">
        <f t="shared" si="68"/>
        <v>0.86499999999999999</v>
      </c>
      <c r="Z48" s="46">
        <v>17.725000000000001</v>
      </c>
      <c r="AA48" s="35">
        <f t="shared" si="69"/>
        <v>0.94281914893617025</v>
      </c>
      <c r="AB48" s="46">
        <v>17.971</v>
      </c>
      <c r="AC48" s="35">
        <f t="shared" si="70"/>
        <v>0.95590425531914891</v>
      </c>
      <c r="AD48" s="46">
        <v>18.500715</v>
      </c>
      <c r="AE48" s="35">
        <f t="shared" si="71"/>
        <v>0.98408058510638297</v>
      </c>
      <c r="AF48" s="46">
        <v>18.416661999999999</v>
      </c>
      <c r="AG48" s="35">
        <f t="shared" si="72"/>
        <v>0.9796096808510637</v>
      </c>
      <c r="AH48" s="46">
        <v>18.088854000000001</v>
      </c>
      <c r="AI48" s="35">
        <f t="shared" si="73"/>
        <v>0.962173085106383</v>
      </c>
      <c r="AJ48" s="46">
        <v>18.290582000000001</v>
      </c>
      <c r="AK48" s="35">
        <f t="shared" si="74"/>
        <v>0.97290329787234042</v>
      </c>
      <c r="AL48" s="46">
        <v>18.425066999999999</v>
      </c>
      <c r="AM48" s="35">
        <f t="shared" si="75"/>
        <v>0.98005675531914882</v>
      </c>
      <c r="AN48" s="46">
        <v>18.383040999999999</v>
      </c>
      <c r="AO48" s="35">
        <f t="shared" si="76"/>
        <v>0.97782132978723391</v>
      </c>
      <c r="AP48" s="46">
        <v>17.059759</v>
      </c>
      <c r="AQ48" s="35">
        <f t="shared" si="77"/>
        <v>0.90743398936170205</v>
      </c>
      <c r="AR48" s="46">
        <v>15.93299</v>
      </c>
      <c r="AS48" s="35">
        <f t="shared" si="78"/>
        <v>0.84749946808510634</v>
      </c>
      <c r="AT48" s="46">
        <v>15.397</v>
      </c>
      <c r="AU48" s="35">
        <f t="shared" si="79"/>
        <v>0.81898936170212766</v>
      </c>
      <c r="AV48" s="46">
        <v>14.869</v>
      </c>
      <c r="AW48" s="35">
        <f t="shared" si="80"/>
        <v>0.79090425531914887</v>
      </c>
      <c r="AX48" s="46">
        <v>14.625</v>
      </c>
      <c r="AY48" s="35">
        <f t="shared" si="81"/>
        <v>0.77792553191489355</v>
      </c>
      <c r="AZ48" s="46">
        <v>14.164999999999999</v>
      </c>
      <c r="BA48" s="35">
        <f t="shared" si="82"/>
        <v>0.75345744680851057</v>
      </c>
      <c r="BB48" s="46">
        <v>13.824999999999999</v>
      </c>
      <c r="BC48" s="35">
        <f t="shared" si="83"/>
        <v>0.7353723404255319</v>
      </c>
      <c r="BD48" s="46">
        <v>13.48</v>
      </c>
      <c r="BE48" s="35">
        <f t="shared" si="84"/>
        <v>0.71702127659574466</v>
      </c>
      <c r="BF48" s="46">
        <v>13.46</v>
      </c>
      <c r="BG48" s="35">
        <f t="shared" si="85"/>
        <v>0.7159574468085107</v>
      </c>
      <c r="BH48" s="46">
        <v>13.613092</v>
      </c>
      <c r="BI48" s="35">
        <f t="shared" si="86"/>
        <v>0.7241006382978723</v>
      </c>
      <c r="BJ48" s="46">
        <v>14.207000000000001</v>
      </c>
      <c r="BK48" s="35">
        <f t="shared" si="87"/>
        <v>0.75569148936170216</v>
      </c>
      <c r="BL48" s="36" t="s">
        <v>131</v>
      </c>
    </row>
    <row r="49" spans="1:65">
      <c r="A49" s="38" t="s">
        <v>124</v>
      </c>
      <c r="B49" s="38" t="s">
        <v>132</v>
      </c>
      <c r="C49" s="39">
        <v>35</v>
      </c>
      <c r="D49" s="98" t="s">
        <v>133</v>
      </c>
      <c r="E49" s="42">
        <v>7.8</v>
      </c>
      <c r="F49" s="42">
        <v>7.8</v>
      </c>
      <c r="G49" s="42">
        <v>7.8</v>
      </c>
      <c r="H49" s="42">
        <v>7.8</v>
      </c>
      <c r="I49" s="42">
        <v>7.8</v>
      </c>
      <c r="J49" s="42">
        <v>7.8</v>
      </c>
      <c r="K49" s="42">
        <v>7.8</v>
      </c>
      <c r="L49" s="43">
        <v>7.8</v>
      </c>
      <c r="M49" s="44">
        <v>7.8</v>
      </c>
      <c r="N49" s="44">
        <v>7.8</v>
      </c>
      <c r="O49" s="45">
        <v>7.8</v>
      </c>
      <c r="P49" s="45">
        <v>7.8</v>
      </c>
      <c r="Q49" s="45">
        <v>7.8</v>
      </c>
      <c r="R49" s="45">
        <v>7.8</v>
      </c>
      <c r="S49" s="380">
        <v>7.7</v>
      </c>
      <c r="T49" s="46">
        <v>5.8286490000000004</v>
      </c>
      <c r="U49" s="35">
        <f t="shared" si="21"/>
        <v>0.75696740259740258</v>
      </c>
      <c r="V49" s="46">
        <v>5.66</v>
      </c>
      <c r="W49" s="35">
        <f t="shared" si="67"/>
        <v>0.73506493506493509</v>
      </c>
      <c r="X49" s="46">
        <v>7.7658110000000002</v>
      </c>
      <c r="Y49" s="35">
        <f t="shared" si="68"/>
        <v>1.0085468831168831</v>
      </c>
      <c r="Z49" s="46">
        <v>7.6660000000000004</v>
      </c>
      <c r="AA49" s="35">
        <f t="shared" si="69"/>
        <v>0.99558441558441557</v>
      </c>
      <c r="AB49" s="46">
        <v>7.7450000000000001</v>
      </c>
      <c r="AC49" s="35">
        <f t="shared" si="70"/>
        <v>1.0058441558441558</v>
      </c>
      <c r="AD49" s="46">
        <v>7.7323880000000003</v>
      </c>
      <c r="AE49" s="35">
        <f t="shared" si="71"/>
        <v>1.0042062337662339</v>
      </c>
      <c r="AF49" s="46">
        <v>7.6657840000000004</v>
      </c>
      <c r="AG49" s="35">
        <f t="shared" si="72"/>
        <v>0.99555636363636368</v>
      </c>
      <c r="AH49" s="46">
        <v>7.6193540000000004</v>
      </c>
      <c r="AI49" s="35">
        <f t="shared" si="73"/>
        <v>0.98952649350649358</v>
      </c>
      <c r="AJ49" s="46">
        <v>7.7457469999999997</v>
      </c>
      <c r="AK49" s="35">
        <f t="shared" si="74"/>
        <v>1.0059411688311688</v>
      </c>
      <c r="AL49" s="46">
        <v>7.7390660000000002</v>
      </c>
      <c r="AM49" s="35">
        <f t="shared" si="75"/>
        <v>1.0050735064935066</v>
      </c>
      <c r="AN49" s="46">
        <v>7.7390660000000002</v>
      </c>
      <c r="AO49" s="35">
        <f t="shared" si="76"/>
        <v>1.0050735064935066</v>
      </c>
      <c r="AP49" s="46">
        <v>7.6657840000000004</v>
      </c>
      <c r="AQ49" s="35">
        <f t="shared" si="77"/>
        <v>0.99555636363636368</v>
      </c>
      <c r="AR49" s="46">
        <v>7.2026000000000003</v>
      </c>
      <c r="AS49" s="35">
        <f t="shared" si="78"/>
        <v>0.93540259740259746</v>
      </c>
      <c r="AT49" s="46">
        <v>7.5259999999999998</v>
      </c>
      <c r="AU49" s="35">
        <f t="shared" si="79"/>
        <v>0.97740259740259738</v>
      </c>
      <c r="AV49" s="46">
        <v>7.4020000000000001</v>
      </c>
      <c r="AW49" s="35">
        <f t="shared" si="80"/>
        <v>0.96129870129870132</v>
      </c>
      <c r="AX49" s="46">
        <v>7.3959999999999999</v>
      </c>
      <c r="AY49" s="35">
        <f t="shared" si="81"/>
        <v>0.96051948051948044</v>
      </c>
      <c r="AZ49" s="46">
        <v>7.3179999999999996</v>
      </c>
      <c r="BA49" s="35">
        <f t="shared" si="82"/>
        <v>0.95038961038961034</v>
      </c>
      <c r="BB49" s="46">
        <v>7.2530000000000001</v>
      </c>
      <c r="BC49" s="35">
        <f t="shared" si="83"/>
        <v>0.94194805194805198</v>
      </c>
      <c r="BD49" s="46">
        <v>7.157</v>
      </c>
      <c r="BE49" s="35">
        <f t="shared" si="84"/>
        <v>0.92948051948051946</v>
      </c>
      <c r="BF49" s="46">
        <v>7.6520000000000001</v>
      </c>
      <c r="BG49" s="35">
        <f t="shared" si="85"/>
        <v>0.99376623376623374</v>
      </c>
      <c r="BH49" s="46">
        <v>7.344093</v>
      </c>
      <c r="BI49" s="35">
        <f t="shared" si="86"/>
        <v>0.95377831168831162</v>
      </c>
      <c r="BJ49" s="46">
        <v>6.9539999999999997</v>
      </c>
      <c r="BK49" s="35">
        <f t="shared" si="87"/>
        <v>0.9031168831168831</v>
      </c>
      <c r="BL49" s="36" t="s">
        <v>131</v>
      </c>
    </row>
    <row r="50" spans="1:65">
      <c r="A50" s="383" t="s">
        <v>124</v>
      </c>
      <c r="B50" s="383" t="s">
        <v>134</v>
      </c>
      <c r="C50" s="39">
        <v>6</v>
      </c>
      <c r="D50" s="98" t="s">
        <v>134</v>
      </c>
      <c r="E50" s="42">
        <v>3.4</v>
      </c>
      <c r="F50" s="42">
        <v>3.4</v>
      </c>
      <c r="G50" s="42">
        <v>3.4</v>
      </c>
      <c r="H50" s="42">
        <v>3.4</v>
      </c>
      <c r="I50" s="42">
        <v>3.4</v>
      </c>
      <c r="J50" s="42">
        <v>3.4</v>
      </c>
      <c r="K50" s="42">
        <v>3.4</v>
      </c>
      <c r="L50" s="43">
        <v>3.4</v>
      </c>
      <c r="M50" s="44">
        <v>3.4</v>
      </c>
      <c r="N50" s="44">
        <v>3.4</v>
      </c>
      <c r="O50" s="45">
        <v>3.4</v>
      </c>
      <c r="P50" s="45">
        <v>3.4</v>
      </c>
      <c r="Q50" s="45">
        <v>3.4</v>
      </c>
      <c r="R50" s="45">
        <v>3.4</v>
      </c>
      <c r="S50" s="45">
        <v>3.4</v>
      </c>
      <c r="T50" s="46">
        <v>2.0865</v>
      </c>
      <c r="U50" s="35">
        <f t="shared" si="21"/>
        <v>0.61367647058823527</v>
      </c>
      <c r="V50" s="46">
        <v>2.3525</v>
      </c>
      <c r="W50" s="35">
        <f t="shared" si="67"/>
        <v>0.69191176470588234</v>
      </c>
      <c r="X50" s="46">
        <v>2.6989999999999998</v>
      </c>
      <c r="Y50" s="35">
        <f t="shared" si="68"/>
        <v>0.79382352941176471</v>
      </c>
      <c r="Z50" s="46">
        <v>3.3109999999999999</v>
      </c>
      <c r="AA50" s="35">
        <f t="shared" si="69"/>
        <v>0.97382352941176475</v>
      </c>
      <c r="AB50" s="46">
        <v>3.3410000000000002</v>
      </c>
      <c r="AC50" s="35">
        <f t="shared" si="70"/>
        <v>0.98264705882352954</v>
      </c>
      <c r="AD50" s="46">
        <v>3.2625000000000002</v>
      </c>
      <c r="AE50" s="35">
        <f t="shared" si="71"/>
        <v>0.9595588235294118</v>
      </c>
      <c r="AF50" s="46">
        <v>3.2625000000000002</v>
      </c>
      <c r="AG50" s="35">
        <f t="shared" si="72"/>
        <v>0.9595588235294118</v>
      </c>
      <c r="AH50" s="46">
        <v>3.4089999999999998</v>
      </c>
      <c r="AI50" s="35">
        <f t="shared" si="73"/>
        <v>1.0026470588235294</v>
      </c>
      <c r="AJ50" s="46">
        <v>3.3595000000000002</v>
      </c>
      <c r="AK50" s="35">
        <f t="shared" si="74"/>
        <v>0.98808823529411771</v>
      </c>
      <c r="AL50" s="46">
        <v>3.3839999999999999</v>
      </c>
      <c r="AM50" s="35">
        <f t="shared" si="75"/>
        <v>0.99529411764705877</v>
      </c>
      <c r="AN50" s="46">
        <v>3.2989999999999999</v>
      </c>
      <c r="AO50" s="35">
        <f t="shared" si="76"/>
        <v>0.97029411764705886</v>
      </c>
      <c r="AP50" s="46">
        <v>2.9544999999999999</v>
      </c>
      <c r="AQ50" s="35">
        <f t="shared" si="77"/>
        <v>0.86897058823529416</v>
      </c>
      <c r="AR50" s="46">
        <v>2.7094999999999998</v>
      </c>
      <c r="AS50" s="35">
        <f t="shared" si="78"/>
        <v>0.79691176470588232</v>
      </c>
      <c r="AT50" s="46">
        <v>2.3740000000000001</v>
      </c>
      <c r="AU50" s="35">
        <f t="shared" si="79"/>
        <v>0.69823529411764707</v>
      </c>
      <c r="AV50" s="46">
        <v>2.3140000000000001</v>
      </c>
      <c r="AW50" s="35">
        <f t="shared" si="80"/>
        <v>0.68058823529411772</v>
      </c>
      <c r="AX50" s="46">
        <v>2.343</v>
      </c>
      <c r="AY50" s="35">
        <f t="shared" si="81"/>
        <v>0.6891176470588235</v>
      </c>
      <c r="AZ50" s="46">
        <v>2.33</v>
      </c>
      <c r="BA50" s="35">
        <f t="shared" si="82"/>
        <v>0.68529411764705883</v>
      </c>
      <c r="BB50" s="46">
        <v>2.36</v>
      </c>
      <c r="BC50" s="35">
        <f t="shared" si="83"/>
        <v>0.69411764705882351</v>
      </c>
      <c r="BD50" s="46">
        <v>2.4394999999999998</v>
      </c>
      <c r="BE50" s="35">
        <f t="shared" si="84"/>
        <v>0.71749999999999992</v>
      </c>
      <c r="BF50" s="46">
        <v>2.4940000000000002</v>
      </c>
      <c r="BG50" s="35">
        <f t="shared" si="85"/>
        <v>0.73352941176470599</v>
      </c>
      <c r="BH50" s="46">
        <v>2.8330000000000002</v>
      </c>
      <c r="BI50" s="35">
        <f t="shared" si="86"/>
        <v>0.83323529411764718</v>
      </c>
      <c r="BJ50" s="46">
        <v>2.9710000000000001</v>
      </c>
      <c r="BK50" s="35">
        <f t="shared" si="87"/>
        <v>0.87382352941176478</v>
      </c>
      <c r="BL50" s="36" t="s">
        <v>135</v>
      </c>
      <c r="BM50" s="119"/>
    </row>
    <row r="51" spans="1:65">
      <c r="A51" s="383" t="s">
        <v>124</v>
      </c>
      <c r="B51" s="383" t="s">
        <v>136</v>
      </c>
      <c r="C51" s="39">
        <v>7</v>
      </c>
      <c r="D51" s="98" t="s">
        <v>137</v>
      </c>
      <c r="E51" s="42">
        <v>8.5</v>
      </c>
      <c r="F51" s="42">
        <v>8.5</v>
      </c>
      <c r="G51" s="42">
        <v>8.5</v>
      </c>
      <c r="H51" s="42">
        <v>8.5</v>
      </c>
      <c r="I51" s="42">
        <v>8.5</v>
      </c>
      <c r="J51" s="42">
        <v>8.5</v>
      </c>
      <c r="K51" s="42">
        <v>11.35</v>
      </c>
      <c r="L51" s="43">
        <v>11.35</v>
      </c>
      <c r="M51" s="44">
        <v>11.35</v>
      </c>
      <c r="N51" s="44">
        <v>11.35</v>
      </c>
      <c r="O51" s="45">
        <v>11.35</v>
      </c>
      <c r="P51" s="45">
        <v>11.35</v>
      </c>
      <c r="Q51" s="139">
        <v>11.35</v>
      </c>
      <c r="R51" s="139">
        <v>11.35</v>
      </c>
      <c r="S51" s="139">
        <v>11.35</v>
      </c>
      <c r="T51" s="46">
        <v>11.098214</v>
      </c>
      <c r="U51" s="35">
        <f t="shared" si="21"/>
        <v>0.97781621145374453</v>
      </c>
      <c r="V51" s="46">
        <v>10.474</v>
      </c>
      <c r="W51" s="35">
        <f t="shared" si="67"/>
        <v>0.92281938325991197</v>
      </c>
      <c r="X51" s="46">
        <v>11.413</v>
      </c>
      <c r="Y51" s="35">
        <f t="shared" si="68"/>
        <v>1.0055506607929516</v>
      </c>
      <c r="Z51" s="46">
        <v>10.987</v>
      </c>
      <c r="AA51" s="35">
        <f t="shared" si="69"/>
        <v>0.96801762114537449</v>
      </c>
      <c r="AB51" s="46">
        <v>10.675000000000001</v>
      </c>
      <c r="AC51" s="35">
        <f t="shared" si="70"/>
        <v>0.94052863436123357</v>
      </c>
      <c r="AD51" s="46">
        <v>11.299643</v>
      </c>
      <c r="AE51" s="35">
        <f t="shared" si="71"/>
        <v>0.99556325991189432</v>
      </c>
      <c r="AF51" s="46">
        <v>11.309714</v>
      </c>
      <c r="AG51" s="35">
        <f t="shared" si="72"/>
        <v>0.9964505726872247</v>
      </c>
      <c r="AH51" s="46">
        <v>11.309714</v>
      </c>
      <c r="AI51" s="35">
        <f t="shared" si="73"/>
        <v>0.9964505726872247</v>
      </c>
      <c r="AJ51" s="46">
        <v>11.309714</v>
      </c>
      <c r="AK51" s="35">
        <f t="shared" si="74"/>
        <v>0.9964505726872247</v>
      </c>
      <c r="AL51" s="46">
        <v>11.178786000000001</v>
      </c>
      <c r="AM51" s="35">
        <f t="shared" si="75"/>
        <v>0.98491506607929524</v>
      </c>
      <c r="AN51" s="46">
        <v>11.128429000000001</v>
      </c>
      <c r="AO51" s="35">
        <f t="shared" si="76"/>
        <v>0.98047832599118956</v>
      </c>
      <c r="AP51" s="46">
        <v>10.655071</v>
      </c>
      <c r="AQ51" s="35">
        <f t="shared" si="77"/>
        <v>0.93877277533039649</v>
      </c>
      <c r="AR51" s="46">
        <v>10.35</v>
      </c>
      <c r="AS51" s="35">
        <f t="shared" si="78"/>
        <v>0.91189427312775329</v>
      </c>
      <c r="AT51" s="46">
        <v>9.7415500000000002</v>
      </c>
      <c r="AU51" s="35">
        <f t="shared" si="79"/>
        <v>0.8582863436123348</v>
      </c>
      <c r="AV51" s="46">
        <v>8.8719999999999999</v>
      </c>
      <c r="AW51" s="35">
        <f t="shared" si="80"/>
        <v>0.7816740088105727</v>
      </c>
      <c r="AX51" s="46">
        <v>9.0039999999999996</v>
      </c>
      <c r="AY51" s="35">
        <f t="shared" si="81"/>
        <v>0.79330396475770926</v>
      </c>
      <c r="AZ51" s="46">
        <v>9.0419999999999998</v>
      </c>
      <c r="BA51" s="35">
        <f t="shared" si="82"/>
        <v>0.7966519823788546</v>
      </c>
      <c r="BB51" s="46">
        <v>9.0980000000000008</v>
      </c>
      <c r="BC51" s="35">
        <f t="shared" si="83"/>
        <v>0.80158590308370048</v>
      </c>
      <c r="BD51" s="46">
        <v>9.31</v>
      </c>
      <c r="BE51" s="35">
        <f t="shared" si="84"/>
        <v>0.82026431718061676</v>
      </c>
      <c r="BF51" s="46">
        <v>9.67</v>
      </c>
      <c r="BG51" s="35">
        <f t="shared" si="85"/>
        <v>0.85198237885462558</v>
      </c>
      <c r="BH51" s="46">
        <v>9.3163</v>
      </c>
      <c r="BI51" s="35">
        <f t="shared" si="86"/>
        <v>0.82081938325991188</v>
      </c>
      <c r="BJ51" s="46">
        <v>9.1739999999999995</v>
      </c>
      <c r="BK51" s="35">
        <f t="shared" si="87"/>
        <v>0.80828193832599116</v>
      </c>
      <c r="BL51" s="36" t="s">
        <v>127</v>
      </c>
      <c r="BM51" s="140" t="s">
        <v>138</v>
      </c>
    </row>
    <row r="52" spans="1:65">
      <c r="A52" s="383" t="s">
        <v>124</v>
      </c>
      <c r="B52" s="383" t="s">
        <v>139</v>
      </c>
      <c r="C52" s="39">
        <v>33</v>
      </c>
      <c r="D52" s="98" t="s">
        <v>140</v>
      </c>
      <c r="E52" s="42">
        <v>6.5</v>
      </c>
      <c r="F52" s="42">
        <v>6.5</v>
      </c>
      <c r="G52" s="42">
        <v>6.5</v>
      </c>
      <c r="H52" s="42">
        <v>6.5</v>
      </c>
      <c r="I52" s="42">
        <v>6.5</v>
      </c>
      <c r="J52" s="42">
        <v>6.5</v>
      </c>
      <c r="K52" s="42">
        <v>4.8</v>
      </c>
      <c r="L52" s="43">
        <v>4.8</v>
      </c>
      <c r="M52" s="44">
        <v>4.968</v>
      </c>
      <c r="N52" s="44">
        <v>4.968</v>
      </c>
      <c r="O52" s="45">
        <v>4.968</v>
      </c>
      <c r="P52" s="45">
        <v>4.968</v>
      </c>
      <c r="Q52" s="45">
        <v>4.968</v>
      </c>
      <c r="R52" s="45">
        <v>4.968</v>
      </c>
      <c r="S52" s="45">
        <v>4.968</v>
      </c>
      <c r="T52" s="46">
        <v>3.073</v>
      </c>
      <c r="U52" s="35">
        <f t="shared" si="21"/>
        <v>0.61855877616747179</v>
      </c>
      <c r="V52" s="46">
        <v>4.33</v>
      </c>
      <c r="W52" s="35">
        <f t="shared" si="67"/>
        <v>0.87157809983896939</v>
      </c>
      <c r="X52" s="46">
        <v>4.8339999999999996</v>
      </c>
      <c r="Y52" s="35">
        <f t="shared" si="68"/>
        <v>0.97302737520128812</v>
      </c>
      <c r="Z52" s="46">
        <v>4.83</v>
      </c>
      <c r="AA52" s="35">
        <f t="shared" si="69"/>
        <v>0.97222222222222221</v>
      </c>
      <c r="AB52" s="46">
        <v>4.9740000000000002</v>
      </c>
      <c r="AC52" s="35">
        <f t="shared" si="70"/>
        <v>1.001207729468599</v>
      </c>
      <c r="AD52" s="46">
        <v>4.67</v>
      </c>
      <c r="AE52" s="35">
        <f t="shared" si="71"/>
        <v>0.94001610305958128</v>
      </c>
      <c r="AF52" s="46">
        <v>4.774</v>
      </c>
      <c r="AG52" s="35">
        <f t="shared" si="72"/>
        <v>0.96095008051529796</v>
      </c>
      <c r="AH52" s="46">
        <v>4.6829999999999998</v>
      </c>
      <c r="AI52" s="35">
        <f t="shared" si="73"/>
        <v>0.94263285024154586</v>
      </c>
      <c r="AJ52" s="46">
        <v>4.9249999999999998</v>
      </c>
      <c r="AK52" s="35">
        <f t="shared" si="74"/>
        <v>0.99134460547504022</v>
      </c>
      <c r="AL52" s="46">
        <v>4.9189999999999996</v>
      </c>
      <c r="AM52" s="35">
        <f t="shared" si="75"/>
        <v>0.99013687600644118</v>
      </c>
      <c r="AN52" s="46">
        <v>4.7320000000000002</v>
      </c>
      <c r="AO52" s="35">
        <f t="shared" si="76"/>
        <v>0.95249597423510468</v>
      </c>
      <c r="AP52" s="46">
        <v>4.2779999999999996</v>
      </c>
      <c r="AQ52" s="35">
        <f t="shared" si="77"/>
        <v>0.86111111111111105</v>
      </c>
      <c r="AR52" s="46">
        <v>3.8530000000000002</v>
      </c>
      <c r="AS52" s="35">
        <f t="shared" si="78"/>
        <v>0.77556360708534622</v>
      </c>
      <c r="AT52" s="46">
        <v>3.4470000000000001</v>
      </c>
      <c r="AU52" s="35">
        <f t="shared" si="79"/>
        <v>0.6938405797101449</v>
      </c>
      <c r="AV52" s="46">
        <v>3.2570000000000001</v>
      </c>
      <c r="AW52" s="35">
        <f t="shared" si="80"/>
        <v>0.65559581320450888</v>
      </c>
      <c r="AX52" s="46">
        <v>3.1419999999999999</v>
      </c>
      <c r="AY52" s="35">
        <f t="shared" si="81"/>
        <v>0.63244766505636074</v>
      </c>
      <c r="AZ52" s="46">
        <v>2.9649999999999999</v>
      </c>
      <c r="BA52" s="35">
        <f t="shared" si="82"/>
        <v>0.5968196457326892</v>
      </c>
      <c r="BB52" s="46">
        <v>2.5019999999999998</v>
      </c>
      <c r="BC52" s="35">
        <f t="shared" si="83"/>
        <v>0.50362318840579701</v>
      </c>
      <c r="BD52" s="46">
        <v>2.2799999999999998</v>
      </c>
      <c r="BE52" s="35">
        <f t="shared" si="84"/>
        <v>0.45893719806763283</v>
      </c>
      <c r="BF52" s="46">
        <v>2.0379999999999998</v>
      </c>
      <c r="BG52" s="35">
        <f t="shared" si="85"/>
        <v>0.41022544283413848</v>
      </c>
      <c r="BH52" s="398">
        <v>2.8180000000000001</v>
      </c>
      <c r="BI52" s="35">
        <f t="shared" si="86"/>
        <v>0.56723027375201285</v>
      </c>
      <c r="BJ52" s="46">
        <v>3.96</v>
      </c>
      <c r="BK52" s="35">
        <f t="shared" si="87"/>
        <v>0.79710144927536231</v>
      </c>
      <c r="BL52" s="36" t="s">
        <v>141</v>
      </c>
    </row>
    <row r="53" spans="1:65">
      <c r="A53" s="383" t="s">
        <v>124</v>
      </c>
      <c r="B53" s="383" t="s">
        <v>142</v>
      </c>
      <c r="C53" s="39">
        <v>4</v>
      </c>
      <c r="D53" s="98" t="s">
        <v>143</v>
      </c>
      <c r="E53" s="42">
        <v>15</v>
      </c>
      <c r="F53" s="42">
        <v>15</v>
      </c>
      <c r="G53" s="42">
        <v>15</v>
      </c>
      <c r="H53" s="42">
        <v>15</v>
      </c>
      <c r="I53" s="42">
        <v>15</v>
      </c>
      <c r="J53" s="42">
        <v>15</v>
      </c>
      <c r="K53" s="42">
        <v>15</v>
      </c>
      <c r="L53" s="43">
        <v>15</v>
      </c>
      <c r="M53" s="44">
        <v>15</v>
      </c>
      <c r="N53" s="44">
        <v>15</v>
      </c>
      <c r="O53" s="45">
        <v>15</v>
      </c>
      <c r="P53" s="45">
        <v>15</v>
      </c>
      <c r="Q53" s="45">
        <v>15</v>
      </c>
      <c r="R53" s="45">
        <v>15</v>
      </c>
      <c r="S53" s="45">
        <v>15</v>
      </c>
      <c r="T53" s="46">
        <v>11.38</v>
      </c>
      <c r="U53" s="35">
        <f t="shared" si="21"/>
        <v>0.75866666666666671</v>
      </c>
      <c r="V53" s="46">
        <v>13.856</v>
      </c>
      <c r="W53" s="35">
        <f t="shared" si="67"/>
        <v>0.9237333333333333</v>
      </c>
      <c r="X53" s="46">
        <v>15</v>
      </c>
      <c r="Y53" s="35">
        <f t="shared" si="68"/>
        <v>1</v>
      </c>
      <c r="Z53" s="46">
        <v>15.147</v>
      </c>
      <c r="AA53" s="35">
        <f t="shared" si="69"/>
        <v>1.0098</v>
      </c>
      <c r="AB53" s="46">
        <v>15.11</v>
      </c>
      <c r="AC53" s="35">
        <f t="shared" si="70"/>
        <v>1.0073333333333332</v>
      </c>
      <c r="AD53" s="46">
        <v>15.1325</v>
      </c>
      <c r="AE53" s="35">
        <f t="shared" si="71"/>
        <v>1.0088333333333332</v>
      </c>
      <c r="AF53" s="46">
        <v>15.102499999999999</v>
      </c>
      <c r="AG53" s="35">
        <f t="shared" si="72"/>
        <v>1.0068333333333332</v>
      </c>
      <c r="AH53" s="46">
        <v>15.1175</v>
      </c>
      <c r="AI53" s="35">
        <f t="shared" si="73"/>
        <v>1.0078333333333334</v>
      </c>
      <c r="AJ53" s="46">
        <v>15.095000000000001</v>
      </c>
      <c r="AK53" s="35">
        <f t="shared" si="74"/>
        <v>1.0063333333333333</v>
      </c>
      <c r="AL53" s="46">
        <v>15.125</v>
      </c>
      <c r="AM53" s="35">
        <f t="shared" si="75"/>
        <v>1.0083333333333333</v>
      </c>
      <c r="AN53" s="46">
        <v>15.05</v>
      </c>
      <c r="AO53" s="35">
        <f t="shared" si="76"/>
        <v>1.0033333333333334</v>
      </c>
      <c r="AP53" s="46">
        <v>14.288</v>
      </c>
      <c r="AQ53" s="35">
        <f t="shared" si="77"/>
        <v>0.95253333333333334</v>
      </c>
      <c r="AR53" s="46">
        <v>13.58</v>
      </c>
      <c r="AS53" s="35">
        <f t="shared" si="78"/>
        <v>0.90533333333333332</v>
      </c>
      <c r="AT53" s="46">
        <v>13.06</v>
      </c>
      <c r="AU53" s="35">
        <f t="shared" si="79"/>
        <v>0.8706666666666667</v>
      </c>
      <c r="AV53" s="46">
        <v>11.669</v>
      </c>
      <c r="AW53" s="35">
        <f t="shared" si="80"/>
        <v>0.77793333333333337</v>
      </c>
      <c r="AX53" s="46">
        <v>11.167</v>
      </c>
      <c r="AY53" s="35">
        <f t="shared" si="81"/>
        <v>0.74446666666666661</v>
      </c>
      <c r="AZ53" s="46">
        <v>10.302</v>
      </c>
      <c r="BA53" s="35">
        <f t="shared" si="82"/>
        <v>0.68679999999999997</v>
      </c>
      <c r="BB53" s="46">
        <v>9.9499999999999993</v>
      </c>
      <c r="BC53" s="35">
        <f t="shared" si="83"/>
        <v>0.66333333333333333</v>
      </c>
      <c r="BD53" s="46">
        <v>9.68</v>
      </c>
      <c r="BE53" s="35">
        <f t="shared" si="84"/>
        <v>0.64533333333333331</v>
      </c>
      <c r="BF53" s="46">
        <v>9.5069999999999997</v>
      </c>
      <c r="BG53" s="35">
        <f t="shared" si="85"/>
        <v>0.63380000000000003</v>
      </c>
      <c r="BH53" s="46">
        <v>10.0025</v>
      </c>
      <c r="BI53" s="35">
        <f t="shared" si="86"/>
        <v>0.66683333333333328</v>
      </c>
      <c r="BJ53" s="46">
        <v>12.212</v>
      </c>
      <c r="BK53" s="35">
        <f t="shared" si="87"/>
        <v>0.81413333333333326</v>
      </c>
      <c r="BL53" s="36" t="s">
        <v>127</v>
      </c>
      <c r="BM53" s="119"/>
    </row>
    <row r="54" spans="1:65">
      <c r="A54" s="383" t="s">
        <v>124</v>
      </c>
      <c r="B54" s="383" t="s">
        <v>144</v>
      </c>
      <c r="C54" s="39">
        <v>5</v>
      </c>
      <c r="D54" s="98" t="s">
        <v>144</v>
      </c>
      <c r="E54" s="42">
        <v>3.2</v>
      </c>
      <c r="F54" s="42">
        <v>3.2</v>
      </c>
      <c r="G54" s="42">
        <v>3.2</v>
      </c>
      <c r="H54" s="42">
        <v>3.2</v>
      </c>
      <c r="I54" s="42">
        <v>3.2</v>
      </c>
      <c r="J54" s="42">
        <v>3.2</v>
      </c>
      <c r="K54" s="42">
        <v>3.2</v>
      </c>
      <c r="L54" s="43">
        <v>3.2</v>
      </c>
      <c r="M54" s="44">
        <v>3.2</v>
      </c>
      <c r="N54" s="44">
        <v>3.2</v>
      </c>
      <c r="O54" s="45">
        <v>3.2</v>
      </c>
      <c r="P54" s="45">
        <v>3.2</v>
      </c>
      <c r="Q54" s="45">
        <v>3.2</v>
      </c>
      <c r="R54" s="45">
        <v>3.2</v>
      </c>
      <c r="S54" s="45">
        <v>3.2</v>
      </c>
      <c r="T54" s="46">
        <v>1.7410000000000001</v>
      </c>
      <c r="U54" s="35">
        <f t="shared" si="21"/>
        <v>0.5440625</v>
      </c>
      <c r="V54" s="46">
        <v>1.764</v>
      </c>
      <c r="W54" s="35">
        <f t="shared" si="67"/>
        <v>0.55125000000000002</v>
      </c>
      <c r="X54" s="46">
        <v>1.83</v>
      </c>
      <c r="Y54" s="35">
        <f t="shared" si="68"/>
        <v>0.57187500000000002</v>
      </c>
      <c r="Z54" s="46">
        <v>2.2810000000000001</v>
      </c>
      <c r="AA54" s="35">
        <f t="shared" si="69"/>
        <v>0.71281249999999996</v>
      </c>
      <c r="AB54" s="46">
        <v>2.2599999999999998</v>
      </c>
      <c r="AC54" s="35">
        <f t="shared" si="70"/>
        <v>0.70624999999999993</v>
      </c>
      <c r="AD54" s="46">
        <v>2.52</v>
      </c>
      <c r="AE54" s="35">
        <f t="shared" si="71"/>
        <v>0.78749999999999998</v>
      </c>
      <c r="AF54" s="46">
        <v>2.4929999999999999</v>
      </c>
      <c r="AG54" s="35">
        <f t="shared" si="72"/>
        <v>0.77906249999999988</v>
      </c>
      <c r="AH54" s="46">
        <v>2.5419999999999998</v>
      </c>
      <c r="AI54" s="35">
        <f t="shared" si="73"/>
        <v>0.79437499999999994</v>
      </c>
      <c r="AJ54" s="46">
        <v>2.5880000000000001</v>
      </c>
      <c r="AK54" s="35">
        <f t="shared" si="74"/>
        <v>0.80874999999999997</v>
      </c>
      <c r="AL54" s="46">
        <v>2.56</v>
      </c>
      <c r="AM54" s="35">
        <f t="shared" si="75"/>
        <v>0.79999999999999993</v>
      </c>
      <c r="AN54" s="46">
        <v>2.52</v>
      </c>
      <c r="AO54" s="35">
        <f t="shared" si="76"/>
        <v>0.78749999999999998</v>
      </c>
      <c r="AP54" s="46">
        <v>2.3889999999999998</v>
      </c>
      <c r="AQ54" s="35">
        <f t="shared" si="77"/>
        <v>0.74656249999999991</v>
      </c>
      <c r="AR54" s="46">
        <v>2.31</v>
      </c>
      <c r="AS54" s="35">
        <f t="shared" si="78"/>
        <v>0.72187499999999993</v>
      </c>
      <c r="AT54" s="46">
        <v>2.1709999999999998</v>
      </c>
      <c r="AU54" s="35">
        <f t="shared" si="79"/>
        <v>0.67843749999999992</v>
      </c>
      <c r="AV54" s="46">
        <v>2.1720000000000002</v>
      </c>
      <c r="AW54" s="35">
        <f t="shared" si="80"/>
        <v>0.67874999999999996</v>
      </c>
      <c r="AX54" s="46">
        <v>2.1509999999999998</v>
      </c>
      <c r="AY54" s="35">
        <f t="shared" si="81"/>
        <v>0.67218749999999994</v>
      </c>
      <c r="AZ54" s="46">
        <v>2.1360000000000001</v>
      </c>
      <c r="BA54" s="35">
        <f t="shared" si="82"/>
        <v>0.66749999999999998</v>
      </c>
      <c r="BB54" s="46">
        <v>2.125</v>
      </c>
      <c r="BC54" s="35">
        <f t="shared" si="83"/>
        <v>0.6640625</v>
      </c>
      <c r="BD54" s="46">
        <v>2.1305000000000001</v>
      </c>
      <c r="BE54" s="35">
        <f t="shared" si="84"/>
        <v>0.66578124999999999</v>
      </c>
      <c r="BF54" s="46">
        <v>2.1715</v>
      </c>
      <c r="BG54" s="35">
        <f t="shared" si="85"/>
        <v>0.67859375</v>
      </c>
      <c r="BH54" s="46">
        <v>2.2080000000000002</v>
      </c>
      <c r="BI54" s="35">
        <f t="shared" si="86"/>
        <v>0.69000000000000006</v>
      </c>
      <c r="BJ54" s="46">
        <v>2.1924999999999999</v>
      </c>
      <c r="BK54" s="35">
        <f t="shared" si="87"/>
        <v>0.68515624999999991</v>
      </c>
      <c r="BL54" s="36" t="s">
        <v>135</v>
      </c>
      <c r="BM54" s="119"/>
    </row>
    <row r="55" spans="1:65">
      <c r="A55" s="38" t="s">
        <v>124</v>
      </c>
      <c r="B55" s="38" t="s">
        <v>145</v>
      </c>
      <c r="C55" s="39" t="s">
        <v>146</v>
      </c>
      <c r="D55" s="98" t="s">
        <v>147</v>
      </c>
      <c r="E55" s="42"/>
      <c r="F55" s="42"/>
      <c r="G55" s="42"/>
      <c r="H55" s="42"/>
      <c r="I55" s="42"/>
      <c r="J55" s="42"/>
      <c r="K55" s="42"/>
      <c r="L55" s="43"/>
      <c r="M55" s="44"/>
      <c r="N55" s="44"/>
      <c r="O55" s="45"/>
      <c r="P55" s="45"/>
      <c r="Q55" s="45">
        <v>1.1579999999999999</v>
      </c>
      <c r="R55" s="45">
        <v>1.1579999999999999</v>
      </c>
      <c r="S55" s="381">
        <v>1.1200000000000001</v>
      </c>
      <c r="T55" s="46">
        <v>0.98</v>
      </c>
      <c r="U55" s="35">
        <f t="shared" si="21"/>
        <v>0.87499999999999989</v>
      </c>
      <c r="V55" s="46">
        <v>1.1200000000000001</v>
      </c>
      <c r="W55" s="35">
        <f t="shared" si="67"/>
        <v>1</v>
      </c>
      <c r="X55" s="46">
        <v>1.1200000000000001</v>
      </c>
      <c r="Y55" s="35">
        <f t="shared" si="68"/>
        <v>1</v>
      </c>
      <c r="Z55" s="46">
        <v>1.1200000000000001</v>
      </c>
      <c r="AA55" s="35">
        <f t="shared" si="69"/>
        <v>1</v>
      </c>
      <c r="AB55" s="46">
        <v>1.1200000000000001</v>
      </c>
      <c r="AC55" s="35">
        <f t="shared" si="70"/>
        <v>1</v>
      </c>
      <c r="AD55" s="46">
        <v>1.1200000000000001</v>
      </c>
      <c r="AE55" s="35">
        <f t="shared" si="71"/>
        <v>1</v>
      </c>
      <c r="AF55" s="46">
        <v>1.1200000000000001</v>
      </c>
      <c r="AG55" s="35">
        <f t="shared" si="72"/>
        <v>1</v>
      </c>
      <c r="AH55" s="46">
        <v>1.1200000000000001</v>
      </c>
      <c r="AI55" s="35">
        <f t="shared" si="73"/>
        <v>1</v>
      </c>
      <c r="AJ55" s="388">
        <v>1.1200000000000001</v>
      </c>
      <c r="AK55" s="35">
        <f t="shared" si="74"/>
        <v>1</v>
      </c>
      <c r="AL55" s="46">
        <v>1.1200000000000001</v>
      </c>
      <c r="AM55" s="35">
        <f t="shared" si="75"/>
        <v>1</v>
      </c>
      <c r="AN55" s="46">
        <v>1.1200000000000001</v>
      </c>
      <c r="AO55" s="35">
        <f t="shared" si="76"/>
        <v>1</v>
      </c>
      <c r="AP55" s="46">
        <v>1.1200000000000001</v>
      </c>
      <c r="AQ55" s="35">
        <f t="shared" si="77"/>
        <v>1</v>
      </c>
      <c r="AR55" s="46">
        <v>1</v>
      </c>
      <c r="AS55" s="35">
        <f t="shared" si="78"/>
        <v>0.89285714285714279</v>
      </c>
      <c r="AT55" s="46">
        <v>1</v>
      </c>
      <c r="AU55" s="35">
        <f t="shared" si="79"/>
        <v>0.89285714285714279</v>
      </c>
      <c r="AV55" s="46">
        <v>0.94</v>
      </c>
      <c r="AW55" s="35">
        <f t="shared" si="80"/>
        <v>0.83928571428571419</v>
      </c>
      <c r="AX55" s="46">
        <v>0.83</v>
      </c>
      <c r="AY55" s="35">
        <f t="shared" si="81"/>
        <v>0.74107142857142849</v>
      </c>
      <c r="AZ55" s="46">
        <v>0.83</v>
      </c>
      <c r="BA55" s="35">
        <f t="shared" si="82"/>
        <v>0.74107142857142849</v>
      </c>
      <c r="BB55" s="46">
        <v>0.83</v>
      </c>
      <c r="BC55" s="35">
        <f t="shared" si="83"/>
        <v>0.74107142857142849</v>
      </c>
      <c r="BD55" s="46">
        <v>0.81</v>
      </c>
      <c r="BE55" s="35">
        <f t="shared" si="84"/>
        <v>0.7232142857142857</v>
      </c>
      <c r="BF55" s="46">
        <v>0.81</v>
      </c>
      <c r="BG55" s="35">
        <f t="shared" si="85"/>
        <v>0.7232142857142857</v>
      </c>
      <c r="BH55" s="46">
        <v>0.83</v>
      </c>
      <c r="BI55" s="35">
        <f t="shared" si="86"/>
        <v>0.74107142857142849</v>
      </c>
      <c r="BJ55" s="46">
        <v>1.1200000000000001</v>
      </c>
      <c r="BK55" s="35">
        <f t="shared" si="87"/>
        <v>1</v>
      </c>
      <c r="BL55" s="36" t="s">
        <v>148</v>
      </c>
      <c r="BM55" s="119"/>
    </row>
    <row r="56" spans="1:65" ht="12" customHeight="1">
      <c r="A56" s="38" t="s">
        <v>124</v>
      </c>
      <c r="B56" s="38" t="s">
        <v>149</v>
      </c>
      <c r="C56" s="39" t="s">
        <v>150</v>
      </c>
      <c r="D56" s="98" t="s">
        <v>149</v>
      </c>
      <c r="E56" s="42"/>
      <c r="F56" s="42"/>
      <c r="G56" s="42"/>
      <c r="H56" s="42"/>
      <c r="I56" s="42"/>
      <c r="J56" s="42"/>
      <c r="K56" s="42"/>
      <c r="L56" s="43"/>
      <c r="M56" s="44"/>
      <c r="N56" s="44"/>
      <c r="O56" s="45"/>
      <c r="P56" s="45"/>
      <c r="Q56" s="45">
        <v>0.78</v>
      </c>
      <c r="R56" s="45">
        <v>0.78</v>
      </c>
      <c r="S56" s="45">
        <v>0.72399999999999998</v>
      </c>
      <c r="T56" s="46">
        <v>0.28299999999999997</v>
      </c>
      <c r="U56" s="35">
        <f t="shared" si="21"/>
        <v>0.39088397790055246</v>
      </c>
      <c r="V56" s="46">
        <v>0.46</v>
      </c>
      <c r="W56" s="35">
        <f t="shared" si="67"/>
        <v>0.63535911602209949</v>
      </c>
      <c r="X56" s="46">
        <v>0.64400000000000002</v>
      </c>
      <c r="Y56" s="35">
        <f t="shared" si="68"/>
        <v>0.88950276243093929</v>
      </c>
      <c r="Z56" s="46">
        <v>0.72399999999999998</v>
      </c>
      <c r="AA56" s="35">
        <f t="shared" si="69"/>
        <v>1</v>
      </c>
      <c r="AB56" s="46">
        <v>0.72399999999999998</v>
      </c>
      <c r="AC56" s="35">
        <f t="shared" si="70"/>
        <v>1</v>
      </c>
      <c r="AD56" s="46">
        <v>0.72399999999999998</v>
      </c>
      <c r="AE56" s="35">
        <f t="shared" si="71"/>
        <v>1</v>
      </c>
      <c r="AF56" s="46">
        <v>0.72399999999999998</v>
      </c>
      <c r="AG56" s="35">
        <f t="shared" si="72"/>
        <v>1</v>
      </c>
      <c r="AH56" s="46">
        <v>0.72399999999999998</v>
      </c>
      <c r="AI56" s="35">
        <f t="shared" si="73"/>
        <v>1</v>
      </c>
      <c r="AJ56" s="387">
        <v>0.72399999999999998</v>
      </c>
      <c r="AK56" s="35">
        <f t="shared" si="74"/>
        <v>1</v>
      </c>
      <c r="AL56" s="46">
        <v>0.72399999999999998</v>
      </c>
      <c r="AM56" s="35">
        <f t="shared" si="75"/>
        <v>1</v>
      </c>
      <c r="AN56" s="46">
        <v>0.72399999999999998</v>
      </c>
      <c r="AO56" s="35">
        <f t="shared" si="76"/>
        <v>1</v>
      </c>
      <c r="AP56" s="46">
        <v>0.72399999999999998</v>
      </c>
      <c r="AQ56" s="35">
        <f t="shared" si="77"/>
        <v>1</v>
      </c>
      <c r="AR56" s="46">
        <v>0.68700000000000006</v>
      </c>
      <c r="AS56" s="35">
        <f t="shared" si="78"/>
        <v>0.94889502762430955</v>
      </c>
      <c r="AT56" s="46">
        <v>0.57499999999999996</v>
      </c>
      <c r="AU56" s="35">
        <f t="shared" si="79"/>
        <v>0.79419889502762431</v>
      </c>
      <c r="AV56" s="46">
        <v>0.55300000000000005</v>
      </c>
      <c r="AW56" s="35">
        <f t="shared" si="80"/>
        <v>0.76381215469613273</v>
      </c>
      <c r="AX56" s="46">
        <v>0.52500000000000002</v>
      </c>
      <c r="AY56" s="35">
        <f t="shared" si="81"/>
        <v>0.72513812154696133</v>
      </c>
      <c r="AZ56" s="46">
        <v>0.53</v>
      </c>
      <c r="BA56" s="35">
        <f t="shared" si="82"/>
        <v>0.7320441988950277</v>
      </c>
      <c r="BB56" s="46">
        <v>0.53</v>
      </c>
      <c r="BC56" s="35">
        <f t="shared" si="83"/>
        <v>0.7320441988950277</v>
      </c>
      <c r="BD56" s="46">
        <v>0.55000000000000004</v>
      </c>
      <c r="BE56" s="35">
        <f t="shared" si="84"/>
        <v>0.75966850828729293</v>
      </c>
      <c r="BF56" s="46">
        <v>0.55000000000000004</v>
      </c>
      <c r="BG56" s="35">
        <f t="shared" si="85"/>
        <v>0.75966850828729293</v>
      </c>
      <c r="BH56" s="46">
        <v>0.52900000000000003</v>
      </c>
      <c r="BI56" s="35">
        <f t="shared" si="86"/>
        <v>0.73066298342541447</v>
      </c>
      <c r="BJ56" s="46">
        <v>0.53249999999999997</v>
      </c>
      <c r="BK56" s="35">
        <f t="shared" si="87"/>
        <v>0.73549723756906071</v>
      </c>
      <c r="BL56" s="36" t="s">
        <v>135</v>
      </c>
      <c r="BM56" s="119"/>
    </row>
    <row r="57" spans="1:65">
      <c r="A57" s="38" t="s">
        <v>124</v>
      </c>
      <c r="B57" s="38" t="s">
        <v>151</v>
      </c>
      <c r="C57" s="39" t="s">
        <v>152</v>
      </c>
      <c r="D57" s="98" t="s">
        <v>153</v>
      </c>
      <c r="E57" s="42"/>
      <c r="F57" s="42"/>
      <c r="G57" s="42"/>
      <c r="H57" s="42"/>
      <c r="I57" s="42"/>
      <c r="J57" s="42"/>
      <c r="K57" s="42"/>
      <c r="L57" s="43"/>
      <c r="M57" s="44"/>
      <c r="N57" s="44"/>
      <c r="O57" s="45"/>
      <c r="P57" s="45"/>
      <c r="Q57" s="45">
        <v>0.64100000000000001</v>
      </c>
      <c r="R57" s="45">
        <v>0.64100000000000001</v>
      </c>
      <c r="S57" s="45">
        <v>0.64100000000000001</v>
      </c>
      <c r="T57" s="46">
        <v>0.64100000000000001</v>
      </c>
      <c r="U57" s="35">
        <f t="shared" si="21"/>
        <v>1</v>
      </c>
      <c r="V57" s="46">
        <v>0.64100000000000001</v>
      </c>
      <c r="W57" s="35">
        <f t="shared" si="67"/>
        <v>1</v>
      </c>
      <c r="X57" s="46">
        <v>0.64100000000000001</v>
      </c>
      <c r="Y57" s="35">
        <f t="shared" si="68"/>
        <v>1</v>
      </c>
      <c r="Z57" s="46">
        <v>0.64100000000000001</v>
      </c>
      <c r="AA57" s="35">
        <f t="shared" si="69"/>
        <v>1</v>
      </c>
      <c r="AB57" s="46">
        <v>0.64100000000000001</v>
      </c>
      <c r="AC57" s="35">
        <f t="shared" si="70"/>
        <v>1</v>
      </c>
      <c r="AD57" s="46">
        <v>0.64100000000000001</v>
      </c>
      <c r="AE57" s="35">
        <f t="shared" si="71"/>
        <v>1</v>
      </c>
      <c r="AF57" s="46">
        <v>0.64100000000000001</v>
      </c>
      <c r="AG57" s="35">
        <f t="shared" si="72"/>
        <v>1</v>
      </c>
      <c r="AH57" s="46">
        <v>0.64100000000000001</v>
      </c>
      <c r="AI57" s="35">
        <f t="shared" si="73"/>
        <v>1</v>
      </c>
      <c r="AJ57" s="46">
        <v>0.64</v>
      </c>
      <c r="AK57" s="35">
        <f t="shared" si="74"/>
        <v>0.99843993759750393</v>
      </c>
      <c r="AL57" s="46">
        <v>0.64100000000000001</v>
      </c>
      <c r="AM57" s="35">
        <f t="shared" si="75"/>
        <v>1</v>
      </c>
      <c r="AN57" s="46">
        <v>0.64100000000000001</v>
      </c>
      <c r="AO57" s="35">
        <f t="shared" si="76"/>
        <v>1</v>
      </c>
      <c r="AP57" s="46">
        <v>0.64100000000000001</v>
      </c>
      <c r="AQ57" s="35">
        <f t="shared" si="77"/>
        <v>1</v>
      </c>
      <c r="AR57" s="46">
        <v>0.64100000000000001</v>
      </c>
      <c r="AS57" s="35">
        <f t="shared" si="78"/>
        <v>1</v>
      </c>
      <c r="AT57" s="46">
        <v>0.56999999999999995</v>
      </c>
      <c r="AU57" s="35">
        <f t="shared" si="79"/>
        <v>0.88923556942277682</v>
      </c>
      <c r="AV57" s="46">
        <v>0.55800000000000005</v>
      </c>
      <c r="AW57" s="35">
        <f t="shared" si="80"/>
        <v>0.87051482059282381</v>
      </c>
      <c r="AX57" s="46">
        <v>0.53100000000000003</v>
      </c>
      <c r="AY57" s="35">
        <f t="shared" si="81"/>
        <v>0.82839313572542905</v>
      </c>
      <c r="AZ57" s="46">
        <v>0.53100000000000003</v>
      </c>
      <c r="BA57" s="35">
        <f t="shared" si="82"/>
        <v>0.82839313572542905</v>
      </c>
      <c r="BB57" s="46">
        <v>0.53200000000000003</v>
      </c>
      <c r="BC57" s="35">
        <f t="shared" si="83"/>
        <v>0.82995319812792512</v>
      </c>
      <c r="BD57" s="46">
        <v>0.53200000000000003</v>
      </c>
      <c r="BE57" s="35">
        <f t="shared" si="84"/>
        <v>0.82995319812792512</v>
      </c>
      <c r="BF57" s="46">
        <v>0.53200000000000003</v>
      </c>
      <c r="BG57" s="35">
        <f t="shared" si="85"/>
        <v>0.82995319812792512</v>
      </c>
      <c r="BH57" s="46">
        <v>0.57099999999999995</v>
      </c>
      <c r="BI57" s="35">
        <f t="shared" si="86"/>
        <v>0.89079563182527288</v>
      </c>
      <c r="BJ57" s="46">
        <v>0.57599999999999996</v>
      </c>
      <c r="BK57" s="35">
        <f t="shared" si="87"/>
        <v>0.89859594383775343</v>
      </c>
      <c r="BL57" s="36" t="s">
        <v>135</v>
      </c>
      <c r="BM57" s="119"/>
    </row>
    <row r="58" spans="1:65" s="73" customFormat="1" ht="13.5" customHeight="1" thickBot="1">
      <c r="A58" s="414" t="s">
        <v>154</v>
      </c>
      <c r="B58" s="414"/>
      <c r="C58" s="122"/>
      <c r="D58" s="141"/>
      <c r="E58" s="65">
        <f t="shared" ref="E58:O58" si="88">SUM(E47:E54)</f>
        <v>74.2</v>
      </c>
      <c r="F58" s="65">
        <f t="shared" si="88"/>
        <v>74.2</v>
      </c>
      <c r="G58" s="65">
        <f t="shared" si="88"/>
        <v>74.2</v>
      </c>
      <c r="H58" s="65">
        <f t="shared" si="88"/>
        <v>74.2</v>
      </c>
      <c r="I58" s="65">
        <f t="shared" si="88"/>
        <v>74.2</v>
      </c>
      <c r="J58" s="65">
        <f t="shared" si="88"/>
        <v>74.2</v>
      </c>
      <c r="K58" s="65">
        <f t="shared" si="88"/>
        <v>75.25</v>
      </c>
      <c r="L58" s="66">
        <f t="shared" si="88"/>
        <v>75.25</v>
      </c>
      <c r="M58" s="67">
        <f t="shared" si="88"/>
        <v>75.418000000000006</v>
      </c>
      <c r="N58" s="67">
        <f t="shared" si="88"/>
        <v>75.418000000000006</v>
      </c>
      <c r="O58" s="68">
        <f t="shared" si="88"/>
        <v>75.418000000000006</v>
      </c>
      <c r="P58" s="68">
        <v>75.418000000000006</v>
      </c>
      <c r="Q58" s="68">
        <f>SUM(Q47:Q57)</f>
        <v>77.997000000000014</v>
      </c>
      <c r="R58" s="68">
        <f>SUM(R47:R57)</f>
        <v>77.997000000000014</v>
      </c>
      <c r="S58" s="68">
        <f>SUM(S47:S57)</f>
        <v>77.803000000000026</v>
      </c>
      <c r="T58" s="69">
        <f>SUM(T47:T57)</f>
        <v>56.019608999999996</v>
      </c>
      <c r="U58" s="35">
        <f t="shared" si="21"/>
        <v>0.72001862396051541</v>
      </c>
      <c r="V58" s="69">
        <f>SUM(V47:V57)</f>
        <v>62.612499999999997</v>
      </c>
      <c r="W58" s="35">
        <f t="shared" si="67"/>
        <v>0.80475688598126005</v>
      </c>
      <c r="X58" s="69">
        <f>SUM(X47:X57)</f>
        <v>72.970758000000018</v>
      </c>
      <c r="Y58" s="35">
        <f t="shared" si="68"/>
        <v>0.93789131524491332</v>
      </c>
      <c r="Z58" s="69">
        <f>SUM(Z47:Z57)</f>
        <v>75.254000000000019</v>
      </c>
      <c r="AA58" s="35">
        <f t="shared" si="69"/>
        <v>0.96723776718121401</v>
      </c>
      <c r="AB58" s="69">
        <f>SUM(AB47:AB57)</f>
        <v>75.368000000000023</v>
      </c>
      <c r="AC58" s="35">
        <f t="shared" si="70"/>
        <v>0.96870300631081063</v>
      </c>
      <c r="AD58" s="69">
        <f>SUM(AD47:AD57)</f>
        <v>76.424870000000013</v>
      </c>
      <c r="AE58" s="35">
        <f t="shared" si="71"/>
        <v>0.9822869298099044</v>
      </c>
      <c r="AF58" s="69">
        <f>SUM(AF47:AF57)</f>
        <v>76.317124000000007</v>
      </c>
      <c r="AG58" s="35">
        <f t="shared" si="72"/>
        <v>0.98090207318483835</v>
      </c>
      <c r="AH58" s="69">
        <f>SUM(AH47:AH57)</f>
        <v>76.062386000000018</v>
      </c>
      <c r="AI58" s="35">
        <f t="shared" si="73"/>
        <v>0.97762793208488097</v>
      </c>
      <c r="AJ58" s="69">
        <f>SUM(AJ47:AJ57)</f>
        <v>76.633825999999999</v>
      </c>
      <c r="AK58" s="35">
        <f t="shared" si="74"/>
        <v>0.98497263601660567</v>
      </c>
      <c r="AL58" s="69">
        <f>SUM(AL47:AL57)</f>
        <v>76.715919000000014</v>
      </c>
      <c r="AM58" s="35">
        <f t="shared" si="75"/>
        <v>0.98602777527858809</v>
      </c>
      <c r="AN58" s="69">
        <f>SUM(AN47:AN57)</f>
        <v>76.074722000000008</v>
      </c>
      <c r="AO58" s="35">
        <f t="shared" si="76"/>
        <v>0.97778648638227295</v>
      </c>
      <c r="AP58" s="69">
        <f>SUM(AP47:AP57)</f>
        <v>72.522902000000016</v>
      </c>
      <c r="AQ58" s="35">
        <f t="shared" si="77"/>
        <v>0.93213503335346959</v>
      </c>
      <c r="AR58" s="69">
        <f>SUM(AR47:AR57)</f>
        <v>68.985559000000009</v>
      </c>
      <c r="AS58" s="35">
        <f t="shared" si="78"/>
        <v>0.88666965284114996</v>
      </c>
      <c r="AT58" s="69">
        <f>SUM(AT47:AT57)</f>
        <v>66.499603000000008</v>
      </c>
      <c r="AU58" s="35">
        <f t="shared" si="79"/>
        <v>0.85471772296698056</v>
      </c>
      <c r="AV58" s="69">
        <f>SUM(AV47:AV57)</f>
        <v>62.355999999999987</v>
      </c>
      <c r="AW58" s="35">
        <f t="shared" si="80"/>
        <v>0.80146009793966766</v>
      </c>
      <c r="AX58" s="69">
        <f>SUM(AX47:AX57)</f>
        <v>61.272999999999996</v>
      </c>
      <c r="AY58" s="35">
        <f t="shared" si="81"/>
        <v>0.78754032620850067</v>
      </c>
      <c r="AZ58" s="69">
        <f>SUM(AZ47:AZ57)</f>
        <v>59.646999999999998</v>
      </c>
      <c r="BA58" s="35">
        <f t="shared" si="82"/>
        <v>0.7666413891495184</v>
      </c>
      <c r="BB58" s="69">
        <f>SUM(BB47:BB57)</f>
        <v>58.484999999999999</v>
      </c>
      <c r="BC58" s="35">
        <f t="shared" si="83"/>
        <v>0.75170623240749046</v>
      </c>
      <c r="BD58" s="69">
        <f>SUM(BD47:BD57)</f>
        <v>58.278999999999996</v>
      </c>
      <c r="BE58" s="35">
        <f t="shared" si="84"/>
        <v>0.74905851959435987</v>
      </c>
      <c r="BF58" s="69">
        <f>SUM(BF47:BF57)</f>
        <v>59.052499999999995</v>
      </c>
      <c r="BG58" s="35">
        <f t="shared" si="85"/>
        <v>0.75900029561842053</v>
      </c>
      <c r="BH58" s="69">
        <f>SUM(BH47:BH57)</f>
        <v>60.692417999999989</v>
      </c>
      <c r="BI58" s="35">
        <f t="shared" si="86"/>
        <v>0.7800781203809618</v>
      </c>
      <c r="BJ58" s="69">
        <f>SUM(BJ47:BJ57)</f>
        <v>64.631999999999991</v>
      </c>
      <c r="BK58" s="35">
        <f t="shared" si="87"/>
        <v>0.83071346863231454</v>
      </c>
      <c r="BL58" s="142"/>
      <c r="BM58" s="143">
        <f>BH60-BH58</f>
        <v>194.91832900000003</v>
      </c>
    </row>
    <row r="59" spans="1:65" ht="4.5" customHeight="1" thickBot="1">
      <c r="A59" s="144"/>
      <c r="B59" s="144"/>
      <c r="C59" s="145"/>
      <c r="D59" s="144"/>
      <c r="E59" s="104"/>
      <c r="F59" s="104"/>
      <c r="G59" s="104"/>
      <c r="H59" s="104"/>
      <c r="I59" s="104"/>
      <c r="J59" s="104"/>
      <c r="K59" s="104"/>
      <c r="L59" s="104"/>
      <c r="M59" s="146"/>
      <c r="N59" s="146"/>
      <c r="O59" s="147"/>
      <c r="P59" s="147"/>
      <c r="Q59" s="147"/>
      <c r="R59" s="147"/>
      <c r="S59" s="147"/>
      <c r="T59" s="80"/>
      <c r="U59" s="81"/>
      <c r="V59" s="80"/>
      <c r="W59" s="81"/>
      <c r="X59" s="80"/>
      <c r="Y59" s="81"/>
      <c r="Z59" s="80"/>
      <c r="AA59" s="81"/>
      <c r="AB59" s="80"/>
      <c r="AC59" s="81"/>
      <c r="AD59" s="80"/>
      <c r="AE59" s="81"/>
      <c r="AF59" s="80"/>
      <c r="AG59" s="81"/>
      <c r="AH59" s="80"/>
      <c r="AI59" s="81"/>
      <c r="AJ59" s="80"/>
      <c r="AK59" s="81"/>
      <c r="AL59" s="80"/>
      <c r="AM59" s="81"/>
      <c r="AN59" s="80"/>
      <c r="AO59" s="81"/>
      <c r="AP59" s="80"/>
      <c r="AQ59" s="81"/>
      <c r="AR59" s="80"/>
      <c r="AS59" s="81"/>
      <c r="AT59" s="80"/>
      <c r="AU59" s="81"/>
      <c r="AV59" s="80"/>
      <c r="AW59" s="81"/>
      <c r="AX59" s="80"/>
      <c r="AY59" s="81"/>
      <c r="AZ59" s="80"/>
      <c r="BA59" s="81"/>
      <c r="BB59" s="80"/>
      <c r="BC59" s="81"/>
      <c r="BD59" s="80"/>
      <c r="BE59" s="81"/>
      <c r="BF59" s="80"/>
      <c r="BG59" s="81"/>
      <c r="BH59" s="80"/>
      <c r="BI59" s="81"/>
      <c r="BJ59" s="80"/>
      <c r="BK59" s="81"/>
    </row>
    <row r="60" spans="1:65" s="73" customFormat="1" ht="13.5" customHeight="1" thickBot="1">
      <c r="A60" s="415" t="s">
        <v>155</v>
      </c>
      <c r="B60" s="415"/>
      <c r="C60" s="148"/>
      <c r="D60" s="149"/>
      <c r="E60" s="150">
        <f t="shared" ref="E60:O60" si="89">E58+E45+E43+E31+E18+E16+E14</f>
        <v>370.32099999999997</v>
      </c>
      <c r="F60" s="151">
        <f t="shared" si="89"/>
        <v>383.86099999999999</v>
      </c>
      <c r="G60" s="151">
        <f t="shared" si="89"/>
        <v>381.1</v>
      </c>
      <c r="H60" s="151">
        <f t="shared" si="89"/>
        <v>381.1</v>
      </c>
      <c r="I60" s="151">
        <f t="shared" si="89"/>
        <v>381.1</v>
      </c>
      <c r="J60" s="151">
        <f t="shared" si="89"/>
        <v>381.1</v>
      </c>
      <c r="K60" s="151">
        <f t="shared" si="89"/>
        <v>379.62000000000006</v>
      </c>
      <c r="L60" s="152">
        <f t="shared" si="89"/>
        <v>379.62000000000006</v>
      </c>
      <c r="M60" s="89">
        <f t="shared" si="89"/>
        <v>380.32800000000009</v>
      </c>
      <c r="N60" s="89">
        <f t="shared" si="89"/>
        <v>380.19049999999999</v>
      </c>
      <c r="O60" s="90">
        <f t="shared" si="89"/>
        <v>380.76049999999998</v>
      </c>
      <c r="P60" s="90">
        <v>380.76049999999998</v>
      </c>
      <c r="Q60" s="90">
        <f>Q58+Q45+Q43+Q31+Q18+Q16+Q14</f>
        <v>389.48949999999996</v>
      </c>
      <c r="R60" s="90">
        <f>R58+R45+R43+R31+R18+R16+R14</f>
        <v>389.48949999999996</v>
      </c>
      <c r="S60" s="90">
        <f>S58+S45+S43+S31+S18+S16+S14</f>
        <v>389.33500000000004</v>
      </c>
      <c r="T60" s="91">
        <f>T58+T45+T43+T31+T18+T16+T14</f>
        <v>257.49960900000002</v>
      </c>
      <c r="U60" s="35">
        <f t="shared" si="21"/>
        <v>0.66138315075706011</v>
      </c>
      <c r="V60" s="91">
        <f>V58+V45+V43+V31+V18+V16+V14</f>
        <v>273.05250000000001</v>
      </c>
      <c r="W60" s="35">
        <f>V60/$S60</f>
        <v>0.70133047375653357</v>
      </c>
      <c r="X60" s="91">
        <f>X58+X45+X43+X31+X18+X16+X14</f>
        <v>302.50475800000004</v>
      </c>
      <c r="Y60" s="35">
        <f>X60/$S60</f>
        <v>0.77697807286783882</v>
      </c>
      <c r="Z60" s="91">
        <f>Z58+Z45+Z43+Z31+Z18+Z16+Z14</f>
        <v>323.101</v>
      </c>
      <c r="AA60" s="35">
        <f>Z60/$S60</f>
        <v>0.82987915291458503</v>
      </c>
      <c r="AB60" s="91">
        <f>AB58+AB45+AB43+AB31+AB18+AB16+AB14</f>
        <v>328.36700000000008</v>
      </c>
      <c r="AC60" s="35">
        <f>AB60/$S60</f>
        <v>0.84340477994529139</v>
      </c>
      <c r="AD60" s="91">
        <f>AD58+AD45+AD43+AD31+AD18+AD16+AD14</f>
        <v>343.24675800000006</v>
      </c>
      <c r="AE60" s="35">
        <f>AD60/$S60</f>
        <v>0.88162317284600666</v>
      </c>
      <c r="AF60" s="91">
        <f>AF58+AF45+AF43+AF31+AF18+AF16+AF14</f>
        <v>344.33155200000004</v>
      </c>
      <c r="AG60" s="35">
        <f>AF60/$S60</f>
        <v>0.88440944687736789</v>
      </c>
      <c r="AH60" s="91">
        <f>AH58+AH45+AH43+AH31+AH18+AH16+AH14</f>
        <v>345.71426400000001</v>
      </c>
      <c r="AI60" s="35">
        <f>AH60/$S60</f>
        <v>0.88796091797552235</v>
      </c>
      <c r="AJ60" s="91">
        <f>AJ58+AJ45+AJ43+AJ31+AJ18+AJ16+AJ14</f>
        <v>346.711727</v>
      </c>
      <c r="AK60" s="35">
        <f>AJ60/$S60</f>
        <v>0.89052288389176404</v>
      </c>
      <c r="AL60" s="91">
        <f>AL58+AL45+AL43+AL31+AL18+AL16+AL14</f>
        <v>345.50584800000001</v>
      </c>
      <c r="AM60" s="35">
        <f>AL60/$S60</f>
        <v>0.8874256051986078</v>
      </c>
      <c r="AN60" s="91">
        <f>AN58+AN45+AN43+AN31+AN18+AN16+AN14</f>
        <v>333.97598599999998</v>
      </c>
      <c r="AO60" s="35">
        <f>AN60/$S60</f>
        <v>0.85781136039657346</v>
      </c>
      <c r="AP60" s="91">
        <f>AP58+AP45+AP43+AP31+AP18+AP16+AP14</f>
        <v>305.73839900000002</v>
      </c>
      <c r="AQ60" s="35">
        <f>AP60/$S60</f>
        <v>0.78528362207353564</v>
      </c>
      <c r="AR60" s="396">
        <f>AR58+AR45+AR43+AR31+AR18+AR16+AR14</f>
        <v>280.73696100000001</v>
      </c>
      <c r="AS60" s="397">
        <f>AR60/$S60</f>
        <v>0.72106787470944045</v>
      </c>
      <c r="AT60" s="91">
        <f>AT58+AT45+AT43+AT31+AT18+AT16+AT14</f>
        <v>266.272671</v>
      </c>
      <c r="AU60" s="35">
        <f>AT60/$S60</f>
        <v>0.683916603952894</v>
      </c>
      <c r="AV60" s="91">
        <f>AV58+AV45+AV43+AV31+AV18+AV16+AV14</f>
        <v>241.857</v>
      </c>
      <c r="AW60" s="35">
        <f>AV60/$S60</f>
        <v>0.62120538867556208</v>
      </c>
      <c r="AX60" s="91">
        <f>AX58+AX45+AX43+AX31+AX18+AX16+AX14</f>
        <v>240.72299999999998</v>
      </c>
      <c r="AY60" s="35">
        <f>AX60/$S60</f>
        <v>0.61829272991125883</v>
      </c>
      <c r="AZ60" s="91">
        <f>AZ58+AZ45+AZ43+AZ31+AZ18+AZ16+AZ14</f>
        <v>236.76699999999997</v>
      </c>
      <c r="BA60" s="35">
        <f>AZ60/$S60</f>
        <v>0.6081318145042186</v>
      </c>
      <c r="BB60" s="91">
        <f>BB58+BB45+BB43+BB31+BB18+BB16+BB14</f>
        <v>232.99500000000003</v>
      </c>
      <c r="BC60" s="35">
        <f>BB60/$S60</f>
        <v>0.59844349981378508</v>
      </c>
      <c r="BD60" s="91">
        <f>BD58+BD45+BD43+BD31+BD18+BD16+BD14</f>
        <v>234.00877599999998</v>
      </c>
      <c r="BE60" s="35">
        <f>BD60/$S60</f>
        <v>0.60104736537942893</v>
      </c>
      <c r="BF60" s="91">
        <f>BF58+BF45+BF43+BF31+BF18+BF16+BF14</f>
        <v>244.99810499999998</v>
      </c>
      <c r="BG60" s="35">
        <f>BF60/$S60</f>
        <v>0.62927326081652035</v>
      </c>
      <c r="BH60" s="91">
        <f>BH58+BH45+BH43+BH31+BH18+BH16+BH14</f>
        <v>255.610747</v>
      </c>
      <c r="BI60" s="35">
        <f>BH60/$S60</f>
        <v>0.65653164241591422</v>
      </c>
      <c r="BJ60" s="91">
        <f>BJ58+BJ45+BJ43+BJ31+BJ18+BJ16+BJ14</f>
        <v>277.05778699999996</v>
      </c>
      <c r="BK60" s="35">
        <f>BJ60/$S60</f>
        <v>0.71161798194357029</v>
      </c>
      <c r="BL60" s="153"/>
      <c r="BM60" s="72"/>
    </row>
    <row r="61" spans="1:65" s="154" customFormat="1" ht="27" customHeight="1">
      <c r="C61" s="155"/>
      <c r="X61" s="156">
        <f>X60-T60</f>
        <v>45.005149000000017</v>
      </c>
      <c r="AB61" s="156">
        <f>AB60-X60</f>
        <v>25.862242000000037</v>
      </c>
      <c r="AD61" s="156">
        <f>AD60-$AB$60</f>
        <v>14.879757999999981</v>
      </c>
      <c r="AF61" s="156">
        <f>AF60-$AB$60</f>
        <v>15.964551999999969</v>
      </c>
      <c r="AG61" s="156"/>
      <c r="AH61" s="156">
        <f>AH60-$AB$60</f>
        <v>17.347263999999939</v>
      </c>
      <c r="AJ61" s="156">
        <f>AJ60-$AB$60</f>
        <v>18.344726999999921</v>
      </c>
      <c r="AL61" s="156">
        <f>AL60-$AB$60</f>
        <v>17.138847999999939</v>
      </c>
      <c r="AM61" s="156"/>
      <c r="AN61" s="156">
        <f>AN60-$AB$60</f>
        <v>5.6089859999999021</v>
      </c>
      <c r="AO61" s="156"/>
      <c r="AP61" s="156">
        <f>AP60-$AB$60</f>
        <v>-22.62860100000006</v>
      </c>
      <c r="AQ61" s="156"/>
      <c r="AR61" s="156">
        <f>AR60-$AB$60</f>
        <v>-47.630039000000068</v>
      </c>
      <c r="AS61" s="156"/>
      <c r="AT61" s="156">
        <f>AT60-$AB$60</f>
        <v>-62.094329000000073</v>
      </c>
      <c r="AU61" s="156"/>
      <c r="AV61" s="156">
        <f>AV60-$AB$60</f>
        <v>-86.510000000000076</v>
      </c>
      <c r="AW61" s="156"/>
      <c r="AX61" s="156">
        <f>AX60-$AB$60</f>
        <v>-87.644000000000091</v>
      </c>
      <c r="AY61" s="156"/>
      <c r="AZ61" s="156">
        <f>AZ60-$AB$60</f>
        <v>-91.600000000000108</v>
      </c>
      <c r="BA61" s="156"/>
      <c r="BB61" s="156">
        <f>BB60-$AB$60</f>
        <v>-95.372000000000043</v>
      </c>
      <c r="BC61" s="156"/>
      <c r="BD61" s="156">
        <f>BD60-$AB$60</f>
        <v>-94.358224000000092</v>
      </c>
      <c r="BE61" s="156"/>
      <c r="BF61" s="156">
        <f>BF60-$AB$60</f>
        <v>-83.368895000000094</v>
      </c>
      <c r="BG61" s="156"/>
      <c r="BH61" s="156">
        <f>BH60-$AB$60</f>
        <v>-72.756253000000072</v>
      </c>
      <c r="BI61" s="156"/>
      <c r="BJ61" s="156">
        <f>BJ60-$AB$60</f>
        <v>-51.309213000000113</v>
      </c>
      <c r="BK61" s="156"/>
      <c r="BL61" s="157" t="s">
        <v>156</v>
      </c>
    </row>
    <row r="62" spans="1:65" ht="13.5" thickBot="1">
      <c r="A62" s="158" t="s">
        <v>157</v>
      </c>
      <c r="Z62" s="159"/>
      <c r="AA62" s="160"/>
      <c r="AB62" s="159">
        <f>AB60-AB60</f>
        <v>0</v>
      </c>
      <c r="AC62" s="160"/>
      <c r="AD62" s="159">
        <f>AB60-AD60</f>
        <v>-14.879757999999981</v>
      </c>
      <c r="AE62" s="159"/>
      <c r="AF62" s="159"/>
      <c r="AG62" s="159"/>
      <c r="AH62" s="159"/>
      <c r="AI62" s="159"/>
      <c r="AJ62" s="159">
        <f>AD60-AJ60</f>
        <v>-3.4649689999999396</v>
      </c>
      <c r="AK62" s="159"/>
      <c r="AP62" s="159">
        <f>AJ60-AP60</f>
        <v>40.973327999999981</v>
      </c>
      <c r="AQ62" s="161"/>
      <c r="AR62" s="161"/>
      <c r="AS62" s="161"/>
      <c r="AT62" s="161"/>
      <c r="AU62" s="161"/>
      <c r="AV62" s="159">
        <f>AP60-AV60</f>
        <v>63.881399000000016</v>
      </c>
      <c r="AW62" s="161"/>
      <c r="AX62" s="161"/>
      <c r="AY62" s="161"/>
      <c r="AZ62" s="161"/>
      <c r="BA62" s="161"/>
      <c r="BB62" s="159">
        <f>AV60-BB60</f>
        <v>8.8619999999999663</v>
      </c>
      <c r="BC62" s="159"/>
      <c r="BD62" s="159"/>
      <c r="BE62" s="159"/>
      <c r="BF62" s="159"/>
      <c r="BG62" s="159"/>
      <c r="BH62" s="159">
        <f>BB60-BH60</f>
        <v>-22.615746999999971</v>
      </c>
      <c r="BI62" s="159"/>
      <c r="BJ62" s="159">
        <f>BH60-BJ60</f>
        <v>-21.447039999999959</v>
      </c>
      <c r="BK62" s="159"/>
      <c r="BL62" s="157" t="s">
        <v>158</v>
      </c>
    </row>
    <row r="63" spans="1:65" ht="73.5" customHeight="1" thickBot="1">
      <c r="A63" s="162" t="s">
        <v>19</v>
      </c>
      <c r="B63" s="163" t="s">
        <v>20</v>
      </c>
      <c r="C63" s="163" t="s">
        <v>21</v>
      </c>
      <c r="D63" s="164" t="s">
        <v>22</v>
      </c>
      <c r="E63" s="165" t="s">
        <v>159</v>
      </c>
      <c r="F63" s="166" t="s">
        <v>160</v>
      </c>
      <c r="G63" s="166" t="s">
        <v>161</v>
      </c>
      <c r="H63" s="166" t="s">
        <v>162</v>
      </c>
      <c r="I63" s="166" t="s">
        <v>163</v>
      </c>
      <c r="J63" s="166" t="s">
        <v>164</v>
      </c>
      <c r="K63" s="166" t="s">
        <v>165</v>
      </c>
      <c r="L63" s="167" t="s">
        <v>166</v>
      </c>
      <c r="M63" s="168" t="s">
        <v>167</v>
      </c>
      <c r="N63" s="168" t="s">
        <v>168</v>
      </c>
      <c r="O63" s="169" t="s">
        <v>169</v>
      </c>
      <c r="P63" s="169" t="s">
        <v>170</v>
      </c>
      <c r="Q63" s="169" t="s">
        <v>171</v>
      </c>
      <c r="R63" s="169" t="s">
        <v>172</v>
      </c>
      <c r="S63" s="169" t="s">
        <v>337</v>
      </c>
      <c r="T63" s="170"/>
      <c r="U63" s="171">
        <v>45292</v>
      </c>
      <c r="V63" s="170"/>
      <c r="W63" s="171">
        <v>45323</v>
      </c>
      <c r="X63" s="170">
        <v>45352</v>
      </c>
      <c r="Y63" s="171"/>
      <c r="Z63" s="170">
        <v>45383</v>
      </c>
      <c r="AA63" s="171"/>
      <c r="AB63" s="170">
        <v>45413</v>
      </c>
      <c r="AC63" s="171"/>
      <c r="AD63" s="170">
        <v>45444</v>
      </c>
      <c r="AE63" s="171"/>
      <c r="AF63" s="170">
        <v>45453</v>
      </c>
      <c r="AG63" s="171"/>
      <c r="AH63" s="170">
        <v>45463</v>
      </c>
      <c r="AI63" s="171"/>
      <c r="AJ63" s="170">
        <v>45474</v>
      </c>
      <c r="AK63" s="171"/>
      <c r="AL63" s="170">
        <v>45483</v>
      </c>
      <c r="AM63" s="171"/>
      <c r="AN63" s="170">
        <v>45493</v>
      </c>
      <c r="AO63" s="171"/>
      <c r="AP63" s="170"/>
      <c r="AQ63" s="171">
        <v>45505</v>
      </c>
      <c r="AR63" s="170"/>
      <c r="AS63" s="171">
        <v>45514</v>
      </c>
      <c r="AT63" s="170"/>
      <c r="AU63" s="171">
        <v>45524</v>
      </c>
      <c r="AV63" s="170"/>
      <c r="AW63" s="171">
        <v>45536</v>
      </c>
      <c r="AX63" s="170"/>
      <c r="AY63" s="171">
        <v>45545</v>
      </c>
      <c r="AZ63" s="170"/>
      <c r="BA63" s="171">
        <v>45555</v>
      </c>
      <c r="BB63" s="170"/>
      <c r="BC63" s="171">
        <v>45566</v>
      </c>
      <c r="BD63" s="170"/>
      <c r="BE63" s="171">
        <v>45575</v>
      </c>
      <c r="BF63" s="170"/>
      <c r="BG63" s="171">
        <v>45585</v>
      </c>
      <c r="BH63" s="170"/>
      <c r="BI63" s="171">
        <v>45597</v>
      </c>
      <c r="BJ63" s="170"/>
      <c r="BK63" s="171">
        <v>45627</v>
      </c>
      <c r="BL63" s="172" t="s">
        <v>37</v>
      </c>
      <c r="BM63" s="173" t="s">
        <v>173</v>
      </c>
    </row>
    <row r="64" spans="1:65">
      <c r="A64" s="174" t="s">
        <v>124</v>
      </c>
      <c r="B64" s="175" t="s">
        <v>174</v>
      </c>
      <c r="C64" s="176" t="s">
        <v>175</v>
      </c>
      <c r="D64" s="177" t="s">
        <v>176</v>
      </c>
      <c r="E64" s="42"/>
      <c r="F64" s="42"/>
      <c r="G64" s="42"/>
      <c r="H64" s="42"/>
      <c r="I64" s="42"/>
      <c r="J64" s="42"/>
      <c r="K64" s="42"/>
      <c r="L64" s="43"/>
      <c r="M64" s="44"/>
      <c r="N64" s="44"/>
      <c r="O64" s="45"/>
      <c r="P64" s="178"/>
      <c r="Q64" s="178">
        <v>1.1000000000000001</v>
      </c>
      <c r="R64" s="178">
        <v>1.1000000000000001</v>
      </c>
      <c r="S64" s="178">
        <v>1.1000000000000001</v>
      </c>
      <c r="T64" s="179"/>
      <c r="U64" s="180"/>
      <c r="V64" s="179"/>
      <c r="W64" s="180"/>
      <c r="X64" s="179"/>
      <c r="Y64" s="180"/>
      <c r="Z64" s="179"/>
      <c r="AA64" s="180"/>
      <c r="AB64" s="179"/>
      <c r="AC64" s="180"/>
      <c r="AD64" s="179"/>
      <c r="AE64" s="180"/>
      <c r="AF64" s="179"/>
      <c r="AG64" s="180"/>
      <c r="AH64" s="179"/>
      <c r="AI64" s="180"/>
      <c r="AJ64" s="181">
        <v>1.1000000000000001</v>
      </c>
      <c r="AK64" s="47">
        <f>AJ64/$S64</f>
        <v>1</v>
      </c>
      <c r="AL64" s="181">
        <v>1.1000000000000001</v>
      </c>
      <c r="AM64" s="47">
        <f>AL64/$S64</f>
        <v>1</v>
      </c>
      <c r="AN64" s="181">
        <v>1.1000000000000001</v>
      </c>
      <c r="AO64" s="47">
        <f>AN64/$S64</f>
        <v>1</v>
      </c>
      <c r="AP64" s="181">
        <v>1.1000000000000001</v>
      </c>
      <c r="AQ64" s="47">
        <f>AP64/$S64</f>
        <v>1</v>
      </c>
      <c r="AR64" s="181">
        <v>1.1000000000000001</v>
      </c>
      <c r="AS64" s="47">
        <f>AR64/$S64</f>
        <v>1</v>
      </c>
      <c r="AT64" s="181">
        <v>1.1000000000000001</v>
      </c>
      <c r="AU64" s="47">
        <f>AT64/$S64</f>
        <v>1</v>
      </c>
      <c r="AV64" s="182">
        <v>1.1000000000000001</v>
      </c>
      <c r="AW64" s="47">
        <f>AV64/$S64</f>
        <v>1</v>
      </c>
      <c r="AX64" s="181">
        <v>1.1000000000000001</v>
      </c>
      <c r="AY64" s="47">
        <f>AX64/$S64</f>
        <v>1</v>
      </c>
      <c r="AZ64" s="181">
        <v>1.1000000000000001</v>
      </c>
      <c r="BA64" s="47">
        <f>AZ64/$S64</f>
        <v>1</v>
      </c>
      <c r="BB64" s="181">
        <v>1.1000000000000001</v>
      </c>
      <c r="BC64" s="47">
        <f>BB64/$S64</f>
        <v>1</v>
      </c>
      <c r="BD64" s="181">
        <v>1.1000000000000001</v>
      </c>
      <c r="BE64" s="47">
        <f>BD64/$S64</f>
        <v>1</v>
      </c>
      <c r="BF64" s="181">
        <v>1.1000000000000001</v>
      </c>
      <c r="BG64" s="47">
        <f>BF64/$S64</f>
        <v>1</v>
      </c>
      <c r="BH64" s="181">
        <v>1.1000000000000001</v>
      </c>
      <c r="BI64" s="47">
        <f>BH64/$S64</f>
        <v>1</v>
      </c>
      <c r="BJ64" s="179"/>
      <c r="BK64" s="184"/>
      <c r="BL64" s="185" t="s">
        <v>177</v>
      </c>
      <c r="BM64" s="140" t="s">
        <v>178</v>
      </c>
    </row>
    <row r="65" spans="1:65" s="24" customFormat="1">
      <c r="A65" s="174" t="s">
        <v>120</v>
      </c>
      <c r="B65" s="186" t="s">
        <v>179</v>
      </c>
      <c r="C65" s="176">
        <v>37</v>
      </c>
      <c r="D65" s="177" t="s">
        <v>180</v>
      </c>
      <c r="E65" s="187">
        <v>33</v>
      </c>
      <c r="F65" s="188">
        <v>33</v>
      </c>
      <c r="G65" s="188">
        <v>33</v>
      </c>
      <c r="H65" s="188">
        <v>33</v>
      </c>
      <c r="I65" s="188">
        <v>8.9</v>
      </c>
      <c r="J65" s="188">
        <v>0</v>
      </c>
      <c r="K65" s="188">
        <v>33</v>
      </c>
      <c r="L65" s="189">
        <v>27.6</v>
      </c>
      <c r="M65" s="190">
        <v>26.4</v>
      </c>
      <c r="N65" s="190">
        <v>26.8</v>
      </c>
      <c r="O65" s="178">
        <v>33</v>
      </c>
      <c r="P65" s="178">
        <v>32.5</v>
      </c>
      <c r="Q65" s="178">
        <v>33</v>
      </c>
      <c r="R65" s="178">
        <f>MAX(suivi_droits_acquis_Entraygues!$B2:$O2, )</f>
        <v>32.954999999999998</v>
      </c>
      <c r="S65" s="178">
        <f>MAX(suivi_droits_acquis_Entraygues!$P2:$AC2, )</f>
        <v>4.2130000000000001</v>
      </c>
      <c r="T65" s="179"/>
      <c r="U65" s="180"/>
      <c r="V65" s="179"/>
      <c r="W65" s="180"/>
      <c r="X65" s="179"/>
      <c r="Y65" s="180"/>
      <c r="Z65" s="179"/>
      <c r="AA65" s="180"/>
      <c r="AB65" s="179"/>
      <c r="AC65" s="180"/>
      <c r="AD65" s="179"/>
      <c r="AE65" s="180"/>
      <c r="AF65" s="179"/>
      <c r="AG65" s="180"/>
      <c r="AH65" s="179"/>
      <c r="AI65" s="180"/>
      <c r="AJ65" s="191">
        <f>suivi_droits_acquis_Entraygues!P4</f>
        <v>0</v>
      </c>
      <c r="AK65" s="192" t="str">
        <f>IF(suivi_droits_acquis_Entraygues!P2=0,"",AJ65/suivi_droits_acquis_Entraygues!P2)</f>
        <v/>
      </c>
      <c r="AL65" s="191">
        <f>suivi_droits_acquis_Entraygues!Q4</f>
        <v>0</v>
      </c>
      <c r="AM65" s="192" t="str">
        <f>IF(suivi_droits_acquis_Entraygues!Q2=0,"",AL65/suivi_droits_acquis_Entraygues!Q2)</f>
        <v/>
      </c>
      <c r="AN65" s="191">
        <f>suivi_droits_acquis_Entraygues!R4</f>
        <v>0</v>
      </c>
      <c r="AO65" s="192" t="str">
        <f>IF(suivi_droits_acquis_Entraygues!R2=0,"",AN65/suivi_droits_acquis_Entraygues!R2)</f>
        <v/>
      </c>
      <c r="AP65" s="191">
        <f>suivi_droits_acquis_Entraygues!S4</f>
        <v>0</v>
      </c>
      <c r="AQ65" s="192" t="str">
        <f>IF(suivi_droits_acquis_Entraygues!S2=0,"",AP65/suivi_droits_acquis_Entraygues!S2)</f>
        <v/>
      </c>
      <c r="AR65" s="191">
        <f>suivi_droits_acquis_Entraygues!T4</f>
        <v>7.4999999999999997E-2</v>
      </c>
      <c r="AS65" s="192">
        <f>IF(suivi_droits_acquis_Entraygues!T2=0,"",AR65/suivi_droits_acquis_Entraygues!T2)</f>
        <v>1</v>
      </c>
      <c r="AT65" s="191">
        <f>suivi_droits_acquis_Entraygues!U4</f>
        <v>0.73199999999999998</v>
      </c>
      <c r="AU65" s="192">
        <f>IF(suivi_droits_acquis_Entraygues!U2=0,"",AT65/suivi_droits_acquis_Entraygues!U2)</f>
        <v>1</v>
      </c>
      <c r="AV65" s="191">
        <f>suivi_droits_acquis_Entraygues!V4</f>
        <v>3.19</v>
      </c>
      <c r="AW65" s="192">
        <f>IF(suivi_droits_acquis_Entraygues!V2=0,"",AV65/suivi_droits_acquis_Entraygues!V2)</f>
        <v>0.93084330318062447</v>
      </c>
      <c r="AX65" s="191">
        <f>suivi_droits_acquis_Entraygues!W4</f>
        <v>3.8820000000000001</v>
      </c>
      <c r="AY65" s="192">
        <f>IF(suivi_droits_acquis_Entraygues!W2=0,"",AX65/suivi_droits_acquis_Entraygues!W2)</f>
        <v>0.92472606002858493</v>
      </c>
      <c r="AZ65" s="191">
        <f>suivi_droits_acquis_Entraygues!X4</f>
        <v>3.8820000000000001</v>
      </c>
      <c r="BA65" s="192">
        <f>IF(suivi_droits_acquis_Entraygues!X2=0,"",AZ65/suivi_droits_acquis_Entraygues!X2)</f>
        <v>0.92472606002858493</v>
      </c>
      <c r="BB65" s="191">
        <f>suivi_droits_acquis_Entraygues!Y4</f>
        <v>3.8959999999999999</v>
      </c>
      <c r="BC65" s="192">
        <f>IF(suivi_droits_acquis_Entraygues!Y2=0,"",BB65/suivi_droits_acquis_Entraygues!Y2)</f>
        <v>0.92475670543555655</v>
      </c>
      <c r="BD65" s="191">
        <f>suivi_droits_acquis_Entraygues!Z4</f>
        <v>3.8959999999999999</v>
      </c>
      <c r="BE65" s="192">
        <f>IF(suivi_droits_acquis_Entraygues!Z2=0,"",BD65/suivi_droits_acquis_Entraygues!Z2)</f>
        <v>0.92475670543555655</v>
      </c>
      <c r="BF65" s="191">
        <f>suivi_droits_acquis_Entraygues!AA4</f>
        <v>3.8959999999999999</v>
      </c>
      <c r="BG65" s="192">
        <f>IF(suivi_droits_acquis_Entraygues!AA2=0,"",BF65/suivi_droits_acquis_Entraygues!AA2)</f>
        <v>0.92475670543555655</v>
      </c>
      <c r="BH65" s="191">
        <f>suivi_droits_acquis_Entraygues!AB4</f>
        <v>3.8959999999999999</v>
      </c>
      <c r="BI65" s="192">
        <f>IF(suivi_droits_acquis_Entraygues!AB2=0,"",BH65/suivi_droits_acquis_Entraygues!AB2)</f>
        <v>0.92475670543555655</v>
      </c>
      <c r="BJ65" s="179"/>
      <c r="BK65" s="184"/>
      <c r="BL65" s="194" t="s">
        <v>181</v>
      </c>
      <c r="BM65" s="140" t="s">
        <v>182</v>
      </c>
    </row>
    <row r="66" spans="1:65" s="24" customFormat="1" ht="26">
      <c r="A66" s="195" t="s">
        <v>183</v>
      </c>
      <c r="B66" s="196" t="s">
        <v>184</v>
      </c>
      <c r="C66" s="197">
        <v>40</v>
      </c>
      <c r="D66" s="198" t="s">
        <v>185</v>
      </c>
      <c r="E66" s="199">
        <v>19</v>
      </c>
      <c r="F66" s="200">
        <v>34</v>
      </c>
      <c r="G66" s="200">
        <v>34</v>
      </c>
      <c r="H66" s="200">
        <v>34</v>
      </c>
      <c r="I66" s="200">
        <v>34</v>
      </c>
      <c r="J66" s="200">
        <v>34</v>
      </c>
      <c r="K66" s="200">
        <v>34</v>
      </c>
      <c r="L66" s="201">
        <v>34</v>
      </c>
      <c r="M66" s="202">
        <v>34</v>
      </c>
      <c r="N66" s="202">
        <v>20</v>
      </c>
      <c r="O66" s="203">
        <v>20</v>
      </c>
      <c r="P66" s="178">
        <v>22.5</v>
      </c>
      <c r="Q66" s="203">
        <f>2.5+20</f>
        <v>22.5</v>
      </c>
      <c r="R66" s="203">
        <f>2.5+20</f>
        <v>22.5</v>
      </c>
      <c r="S66" s="203">
        <f>2.5+20</f>
        <v>22.5</v>
      </c>
      <c r="T66" s="179"/>
      <c r="U66" s="180"/>
      <c r="V66" s="179"/>
      <c r="W66" s="180"/>
      <c r="X66" s="179"/>
      <c r="Y66" s="180"/>
      <c r="Z66" s="179"/>
      <c r="AA66" s="180"/>
      <c r="AB66" s="179"/>
      <c r="AC66" s="180"/>
      <c r="AD66" s="179"/>
      <c r="AE66" s="180"/>
      <c r="AF66" s="179"/>
      <c r="AG66" s="180"/>
      <c r="AH66" s="179"/>
      <c r="AI66" s="180"/>
      <c r="AJ66" s="384">
        <v>0</v>
      </c>
      <c r="AK66" s="385">
        <f>AJ66/$S$66</f>
        <v>0</v>
      </c>
      <c r="AL66" s="384">
        <v>0</v>
      </c>
      <c r="AM66" s="385">
        <f>AL66/$S$66</f>
        <v>0</v>
      </c>
      <c r="AN66" s="386">
        <v>0</v>
      </c>
      <c r="AO66" s="385">
        <f>AN66/$S$66</f>
        <v>0</v>
      </c>
      <c r="AP66" s="386">
        <v>0</v>
      </c>
      <c r="AQ66" s="385">
        <f>AP66/$S$66</f>
        <v>0</v>
      </c>
      <c r="AR66" s="386">
        <v>0</v>
      </c>
      <c r="AS66" s="385">
        <f>AR66/$S$66</f>
        <v>0</v>
      </c>
      <c r="AT66" s="386">
        <v>0</v>
      </c>
      <c r="AU66" s="385">
        <f>AT66/$S$66</f>
        <v>0</v>
      </c>
      <c r="AV66" s="181">
        <v>16.7</v>
      </c>
      <c r="AW66" s="204">
        <f>AV66/$S$66</f>
        <v>0.74222222222222223</v>
      </c>
      <c r="AX66" s="181">
        <v>16.600000000000001</v>
      </c>
      <c r="AY66" s="204">
        <f>AX66/$S$66</f>
        <v>0.73777777777777787</v>
      </c>
      <c r="AZ66" s="181">
        <f>14.108+2.5</f>
        <v>16.608000000000001</v>
      </c>
      <c r="BA66" s="204">
        <f>AZ66/$S$66</f>
        <v>0.73813333333333331</v>
      </c>
      <c r="BB66" s="181">
        <f>14.1+2.5</f>
        <v>16.600000000000001</v>
      </c>
      <c r="BC66" s="204">
        <f>BB66/$S$66</f>
        <v>0.73777777777777787</v>
      </c>
      <c r="BD66" s="181">
        <f>14.1+2.5</f>
        <v>16.600000000000001</v>
      </c>
      <c r="BE66" s="204">
        <f>BD66/$S$66</f>
        <v>0.73777777777777787</v>
      </c>
      <c r="BF66" s="181">
        <f>14.1+2.5</f>
        <v>16.600000000000001</v>
      </c>
      <c r="BG66" s="204">
        <f>BF66/$S$66</f>
        <v>0.73777777777777787</v>
      </c>
      <c r="BH66" s="181">
        <f>14.1+2.5</f>
        <v>16.600000000000001</v>
      </c>
      <c r="BI66" s="204">
        <f>BH66/$S$66</f>
        <v>0.73777777777777787</v>
      </c>
      <c r="BJ66" s="205"/>
      <c r="BK66" s="206"/>
      <c r="BL66" s="207" t="s">
        <v>177</v>
      </c>
      <c r="BM66" s="208" t="s">
        <v>186</v>
      </c>
    </row>
    <row r="67" spans="1:65" s="24" customFormat="1">
      <c r="A67" s="195" t="s">
        <v>187</v>
      </c>
      <c r="B67" s="196" t="s">
        <v>188</v>
      </c>
      <c r="C67" s="197">
        <v>60</v>
      </c>
      <c r="D67" s="209" t="s">
        <v>189</v>
      </c>
      <c r="E67" s="199"/>
      <c r="F67" s="200"/>
      <c r="G67" s="200"/>
      <c r="H67" s="200"/>
      <c r="I67" s="200"/>
      <c r="J67" s="200"/>
      <c r="K67" s="200"/>
      <c r="L67" s="201"/>
      <c r="M67" s="202">
        <v>5</v>
      </c>
      <c r="N67" s="202">
        <v>5</v>
      </c>
      <c r="O67" s="203">
        <v>5</v>
      </c>
      <c r="P67" s="203">
        <v>5</v>
      </c>
      <c r="Q67" s="203">
        <v>5</v>
      </c>
      <c r="R67" s="203">
        <v>5</v>
      </c>
      <c r="S67" s="203">
        <v>5</v>
      </c>
      <c r="T67" s="179"/>
      <c r="U67" s="180"/>
      <c r="V67" s="179"/>
      <c r="W67" s="180"/>
      <c r="X67" s="179"/>
      <c r="Y67" s="180"/>
      <c r="Z67" s="179"/>
      <c r="AA67" s="180"/>
      <c r="AB67" s="179"/>
      <c r="AC67" s="180"/>
      <c r="AD67" s="179"/>
      <c r="AE67" s="180"/>
      <c r="AF67" s="179"/>
      <c r="AG67" s="180"/>
      <c r="AH67" s="179"/>
      <c r="AI67" s="180"/>
      <c r="AJ67" s="178">
        <v>5</v>
      </c>
      <c r="AK67" s="204">
        <f>AJ67/$S$67</f>
        <v>1</v>
      </c>
      <c r="AL67" s="181">
        <v>5</v>
      </c>
      <c r="AM67" s="204">
        <f>AL67/$S$67</f>
        <v>1</v>
      </c>
      <c r="AN67" s="181">
        <v>5</v>
      </c>
      <c r="AO67" s="204">
        <f>AN67/$S$67</f>
        <v>1</v>
      </c>
      <c r="AP67" s="181">
        <v>5</v>
      </c>
      <c r="AQ67" s="204">
        <f>AP67/$S$67</f>
        <v>1</v>
      </c>
      <c r="AR67" s="181">
        <v>5</v>
      </c>
      <c r="AS67" s="204">
        <f>AR67/$S$67</f>
        <v>1</v>
      </c>
      <c r="AT67" s="181">
        <v>5</v>
      </c>
      <c r="AU67" s="204">
        <f>AT67/$S$67</f>
        <v>1</v>
      </c>
      <c r="AV67" s="181">
        <v>5</v>
      </c>
      <c r="AW67" s="204">
        <f>AV67/$S$67</f>
        <v>1</v>
      </c>
      <c r="AX67" s="181">
        <v>5</v>
      </c>
      <c r="AY67" s="204">
        <f>AX67/$S$67</f>
        <v>1</v>
      </c>
      <c r="AZ67" s="181">
        <v>5</v>
      </c>
      <c r="BA67" s="204">
        <f>AZ67/$S$67</f>
        <v>1</v>
      </c>
      <c r="BB67" s="181">
        <v>5</v>
      </c>
      <c r="BC67" s="204">
        <f>BB67/$S$67</f>
        <v>1</v>
      </c>
      <c r="BD67" s="181">
        <v>5</v>
      </c>
      <c r="BE67" s="204">
        <f>BD67/$S$67</f>
        <v>1</v>
      </c>
      <c r="BF67" s="181">
        <v>5</v>
      </c>
      <c r="BG67" s="204">
        <f>BF67/$S$67</f>
        <v>1</v>
      </c>
      <c r="BH67" s="181">
        <v>5</v>
      </c>
      <c r="BI67" s="204">
        <f>BH67/$S$67</f>
        <v>1</v>
      </c>
      <c r="BJ67" s="205"/>
      <c r="BK67" s="206"/>
      <c r="BL67" s="207" t="s">
        <v>177</v>
      </c>
      <c r="BM67" s="140" t="s">
        <v>190</v>
      </c>
    </row>
    <row r="68" spans="1:65" s="221" customFormat="1">
      <c r="A68" s="195" t="s">
        <v>39</v>
      </c>
      <c r="B68" s="196" t="s">
        <v>191</v>
      </c>
      <c r="C68" s="197">
        <v>61</v>
      </c>
      <c r="D68" s="198" t="s">
        <v>192</v>
      </c>
      <c r="E68" s="199"/>
      <c r="F68" s="200"/>
      <c r="G68" s="200"/>
      <c r="H68" s="200"/>
      <c r="I68" s="200"/>
      <c r="J68" s="200"/>
      <c r="K68" s="200"/>
      <c r="L68" s="201"/>
      <c r="M68" s="202"/>
      <c r="N68" s="202"/>
      <c r="O68" s="203"/>
      <c r="P68" s="203"/>
      <c r="Q68" s="210">
        <v>2.6</v>
      </c>
      <c r="R68" s="210">
        <v>2.6</v>
      </c>
      <c r="S68" s="210">
        <v>2.6</v>
      </c>
      <c r="T68" s="179"/>
      <c r="U68" s="180"/>
      <c r="V68" s="179"/>
      <c r="W68" s="180"/>
      <c r="X68" s="179"/>
      <c r="Y68" s="180"/>
      <c r="Z68" s="179"/>
      <c r="AA68" s="180"/>
      <c r="AB68" s="179"/>
      <c r="AC68" s="180"/>
      <c r="AD68" s="179"/>
      <c r="AE68" s="180"/>
      <c r="AF68" s="211"/>
      <c r="AG68" s="212"/>
      <c r="AH68" s="211"/>
      <c r="AI68" s="212"/>
      <c r="AJ68" s="211"/>
      <c r="AK68" s="212"/>
      <c r="AL68" s="213"/>
      <c r="AM68" s="212"/>
      <c r="AN68" s="182">
        <v>2.5108999999999999</v>
      </c>
      <c r="AO68" s="204">
        <f>AN68/$S$68</f>
        <v>0.96573076923076917</v>
      </c>
      <c r="AP68" s="182">
        <v>2.0671819999999999</v>
      </c>
      <c r="AQ68" s="204">
        <f>AP68/$S$68</f>
        <v>0.79506999999999994</v>
      </c>
      <c r="AR68" s="182">
        <v>2.0671819999999999</v>
      </c>
      <c r="AS68" s="204">
        <f>AR68/$S$68</f>
        <v>0.79506999999999994</v>
      </c>
      <c r="AT68" s="182">
        <v>2.0430000000000001</v>
      </c>
      <c r="AU68" s="204">
        <f>AT68/$S$68</f>
        <v>0.78576923076923078</v>
      </c>
      <c r="AV68" s="181">
        <v>1.7090000000000001</v>
      </c>
      <c r="AW68" s="204">
        <f>AV68/$S$68</f>
        <v>0.65730769230769226</v>
      </c>
      <c r="AX68" s="181">
        <v>0.89</v>
      </c>
      <c r="AY68" s="204">
        <f>AX68/$S$68</f>
        <v>0.34230769230769231</v>
      </c>
      <c r="AZ68" s="215"/>
      <c r="BA68" s="212"/>
      <c r="BB68" s="215"/>
      <c r="BC68" s="212"/>
      <c r="BD68" s="217"/>
      <c r="BE68" s="212"/>
      <c r="BF68" s="215"/>
      <c r="BG68" s="212"/>
      <c r="BH68" s="215"/>
      <c r="BI68" s="212"/>
      <c r="BJ68" s="215"/>
      <c r="BK68" s="218"/>
      <c r="BL68" s="219" t="s">
        <v>193</v>
      </c>
      <c r="BM68" s="220" t="s">
        <v>417</v>
      </c>
    </row>
    <row r="69" spans="1:65" s="24" customFormat="1" ht="72" customHeight="1">
      <c r="A69" s="222" t="s">
        <v>195</v>
      </c>
      <c r="B69" s="196" t="s">
        <v>196</v>
      </c>
      <c r="C69" s="197">
        <v>36</v>
      </c>
      <c r="D69" s="198" t="s">
        <v>98</v>
      </c>
      <c r="E69" s="199"/>
      <c r="F69" s="200">
        <v>48</v>
      </c>
      <c r="G69" s="200">
        <v>48</v>
      </c>
      <c r="H69" s="200">
        <v>48</v>
      </c>
      <c r="I69" s="200">
        <v>48</v>
      </c>
      <c r="J69" s="200">
        <v>48</v>
      </c>
      <c r="K69" s="200">
        <v>48</v>
      </c>
      <c r="L69" s="201">
        <v>48</v>
      </c>
      <c r="M69" s="202">
        <v>48</v>
      </c>
      <c r="N69" s="202">
        <v>48</v>
      </c>
      <c r="O69" s="203">
        <v>48</v>
      </c>
      <c r="P69" s="203">
        <v>48</v>
      </c>
      <c r="Q69" s="203">
        <v>48</v>
      </c>
      <c r="R69" s="203">
        <v>48</v>
      </c>
      <c r="S69" s="203">
        <v>48</v>
      </c>
      <c r="T69" s="181">
        <v>10</v>
      </c>
      <c r="U69" s="204">
        <f>T69/10</f>
        <v>1</v>
      </c>
      <c r="V69" s="181">
        <v>5</v>
      </c>
      <c r="W69" s="204">
        <f>V69/5</f>
        <v>1</v>
      </c>
      <c r="X69" s="213"/>
      <c r="Y69" s="212"/>
      <c r="Z69" s="179"/>
      <c r="AA69" s="180"/>
      <c r="AB69" s="179"/>
      <c r="AC69" s="180"/>
      <c r="AD69" s="181">
        <v>48</v>
      </c>
      <c r="AE69" s="204">
        <f>AD69/$S$69</f>
        <v>1</v>
      </c>
      <c r="AF69" s="181">
        <v>48</v>
      </c>
      <c r="AG69" s="204">
        <f>AF69/$S$69</f>
        <v>1</v>
      </c>
      <c r="AH69" s="181">
        <v>48</v>
      </c>
      <c r="AI69" s="204">
        <f>AH69/$S$69</f>
        <v>1</v>
      </c>
      <c r="AJ69" s="181">
        <v>48</v>
      </c>
      <c r="AK69" s="204">
        <f>AJ69/$S$69</f>
        <v>1</v>
      </c>
      <c r="AL69" s="181">
        <v>48</v>
      </c>
      <c r="AM69" s="204">
        <f>AL69/$S$69</f>
        <v>1</v>
      </c>
      <c r="AN69" s="181">
        <v>47.179000000000002</v>
      </c>
      <c r="AO69" s="204">
        <f>AN69/$S$69</f>
        <v>0.98289583333333341</v>
      </c>
      <c r="AP69" s="181">
        <v>41.39</v>
      </c>
      <c r="AQ69" s="204">
        <f>AP69/$S$69</f>
        <v>0.86229166666666668</v>
      </c>
      <c r="AR69" s="181">
        <v>35.298999999999999</v>
      </c>
      <c r="AS69" s="204">
        <f>AR69/$S$69</f>
        <v>0.73539583333333336</v>
      </c>
      <c r="AT69" s="181">
        <v>29.135999999999999</v>
      </c>
      <c r="AU69" s="204">
        <f>AT69/$S$69</f>
        <v>0.60699999999999998</v>
      </c>
      <c r="AV69" s="181">
        <v>22.48</v>
      </c>
      <c r="AW69" s="204">
        <f>AV69/$S$69</f>
        <v>0.46833333333333332</v>
      </c>
      <c r="AX69" s="181">
        <v>21.21</v>
      </c>
      <c r="AY69" s="204">
        <f>AX69/$S$69</f>
        <v>0.44187500000000002</v>
      </c>
      <c r="AZ69" s="181">
        <v>21.21</v>
      </c>
      <c r="BA69" s="204">
        <f>AZ69/$S$69</f>
        <v>0.44187500000000002</v>
      </c>
      <c r="BB69" s="181">
        <v>21.21</v>
      </c>
      <c r="BC69" s="204">
        <f>BB69/$S$69</f>
        <v>0.44187500000000002</v>
      </c>
      <c r="BD69" s="181">
        <v>21.21</v>
      </c>
      <c r="BE69" s="204">
        <f>BD69/$S$69</f>
        <v>0.44187500000000002</v>
      </c>
      <c r="BF69" s="181">
        <v>21.21</v>
      </c>
      <c r="BG69" s="204">
        <f>BF69/$S$69</f>
        <v>0.44187500000000002</v>
      </c>
      <c r="BH69" s="181">
        <v>21.21</v>
      </c>
      <c r="BI69" s="204">
        <f>BH69/$S$69</f>
        <v>0.44187500000000002</v>
      </c>
      <c r="BJ69" s="181">
        <v>21.21</v>
      </c>
      <c r="BK69" s="204">
        <f>BJ69/$S$69</f>
        <v>0.44187500000000002</v>
      </c>
      <c r="BL69" s="207" t="s">
        <v>42</v>
      </c>
      <c r="BM69" s="208" t="s">
        <v>197</v>
      </c>
    </row>
    <row r="70" spans="1:65" s="24" customFormat="1">
      <c r="A70" s="195" t="s">
        <v>72</v>
      </c>
      <c r="B70" s="196" t="s">
        <v>198</v>
      </c>
      <c r="C70" s="197">
        <v>41</v>
      </c>
      <c r="D70" s="209" t="s">
        <v>199</v>
      </c>
      <c r="E70" s="199">
        <v>46</v>
      </c>
      <c r="F70" s="200">
        <v>46</v>
      </c>
      <c r="G70" s="200">
        <v>46</v>
      </c>
      <c r="H70" s="200">
        <v>46</v>
      </c>
      <c r="I70" s="200">
        <v>46</v>
      </c>
      <c r="J70" s="200">
        <v>46</v>
      </c>
      <c r="K70" s="200">
        <v>46</v>
      </c>
      <c r="L70" s="201">
        <v>46</v>
      </c>
      <c r="M70" s="202">
        <v>46</v>
      </c>
      <c r="N70" s="202">
        <v>46</v>
      </c>
      <c r="O70" s="203">
        <v>46</v>
      </c>
      <c r="P70" s="203">
        <v>42</v>
      </c>
      <c r="Q70" s="203">
        <v>53</v>
      </c>
      <c r="R70" s="203">
        <v>53</v>
      </c>
      <c r="S70" s="203">
        <v>53.23</v>
      </c>
      <c r="T70" s="179"/>
      <c r="U70" s="180"/>
      <c r="V70" s="179"/>
      <c r="W70" s="180"/>
      <c r="X70" s="179"/>
      <c r="Y70" s="180"/>
      <c r="Z70" s="179"/>
      <c r="AA70" s="180"/>
      <c r="AB70" s="179"/>
      <c r="AC70" s="180"/>
      <c r="AD70" s="179"/>
      <c r="AE70" s="180"/>
      <c r="AF70" s="179"/>
      <c r="AG70" s="180"/>
      <c r="AH70" s="179"/>
      <c r="AI70" s="180"/>
      <c r="AJ70" s="178">
        <v>53.23</v>
      </c>
      <c r="AK70" s="204">
        <f>AJ70/$S$70</f>
        <v>1</v>
      </c>
      <c r="AL70" s="178">
        <v>53.23</v>
      </c>
      <c r="AM70" s="204">
        <f>AL70/$S$70</f>
        <v>1</v>
      </c>
      <c r="AN70" s="178">
        <v>53.23</v>
      </c>
      <c r="AO70" s="204">
        <f>AN70/$S$70</f>
        <v>1</v>
      </c>
      <c r="AP70" s="181">
        <v>53.23</v>
      </c>
      <c r="AQ70" s="204">
        <f>AP70/$S$70</f>
        <v>1</v>
      </c>
      <c r="AR70" s="181">
        <v>50.506599999999999</v>
      </c>
      <c r="AS70" s="204">
        <f>AR70/$S$70</f>
        <v>0.94883712192372727</v>
      </c>
      <c r="AT70" s="181">
        <v>48.2</v>
      </c>
      <c r="AU70" s="204">
        <f>AT70/$S$70</f>
        <v>0.90550441480368227</v>
      </c>
      <c r="AV70" s="181">
        <v>47.262279999999997</v>
      </c>
      <c r="AW70" s="204">
        <f>AV70/$S$70</f>
        <v>0.88788803306406161</v>
      </c>
      <c r="AX70" s="181">
        <v>47.262279999999997</v>
      </c>
      <c r="AY70" s="204">
        <f>AX70/$S$70</f>
        <v>0.88788803306406161</v>
      </c>
      <c r="AZ70" s="181">
        <v>47.262279999999997</v>
      </c>
      <c r="BA70" s="204">
        <f>AZ70/$S$70</f>
        <v>0.88788803306406161</v>
      </c>
      <c r="BB70" s="181">
        <v>47.262279999999997</v>
      </c>
      <c r="BC70" s="204">
        <f>BB70/$S$70</f>
        <v>0.88788803306406161</v>
      </c>
      <c r="BD70" s="181">
        <v>47.262279999999997</v>
      </c>
      <c r="BE70" s="204">
        <f>BD70/$S$70</f>
        <v>0.88788803306406161</v>
      </c>
      <c r="BF70" s="181">
        <v>47.262279999999997</v>
      </c>
      <c r="BG70" s="204">
        <f>BF70/$S$70</f>
        <v>0.88788803306406161</v>
      </c>
      <c r="BH70" s="181">
        <v>47.262279999999997</v>
      </c>
      <c r="BI70" s="204">
        <f>BH70/$S$70</f>
        <v>0.88788803306406161</v>
      </c>
      <c r="BJ70" s="205"/>
      <c r="BK70" s="206"/>
      <c r="BL70" s="194" t="s">
        <v>200</v>
      </c>
      <c r="BM70" s="208" t="s">
        <v>201</v>
      </c>
    </row>
    <row r="71" spans="1:65" s="24" customFormat="1" ht="13.5" thickBot="1">
      <c r="A71" s="224" t="s">
        <v>72</v>
      </c>
      <c r="B71" s="225" t="s">
        <v>202</v>
      </c>
      <c r="C71" s="226">
        <v>45</v>
      </c>
      <c r="D71" s="227" t="s">
        <v>203</v>
      </c>
      <c r="E71" s="228"/>
      <c r="F71" s="229">
        <v>5</v>
      </c>
      <c r="G71" s="229">
        <v>5</v>
      </c>
      <c r="H71" s="229">
        <v>5</v>
      </c>
      <c r="I71" s="229">
        <v>5</v>
      </c>
      <c r="J71" s="229">
        <v>5</v>
      </c>
      <c r="K71" s="229">
        <v>5</v>
      </c>
      <c r="L71" s="230">
        <v>5</v>
      </c>
      <c r="M71" s="231">
        <v>5</v>
      </c>
      <c r="N71" s="231">
        <v>5</v>
      </c>
      <c r="O71" s="232">
        <v>5</v>
      </c>
      <c r="P71" s="203">
        <v>11</v>
      </c>
      <c r="Q71" s="232">
        <v>8.39</v>
      </c>
      <c r="R71" s="232">
        <v>8.39</v>
      </c>
      <c r="S71" s="232">
        <v>8.39</v>
      </c>
      <c r="T71" s="179"/>
      <c r="U71" s="180"/>
      <c r="V71" s="179"/>
      <c r="W71" s="180"/>
      <c r="X71" s="179"/>
      <c r="Y71" s="180"/>
      <c r="Z71" s="179"/>
      <c r="AA71" s="180"/>
      <c r="AB71" s="179"/>
      <c r="AC71" s="180"/>
      <c r="AD71" s="179"/>
      <c r="AE71" s="180"/>
      <c r="AF71" s="179"/>
      <c r="AG71" s="180"/>
      <c r="AH71" s="179"/>
      <c r="AI71" s="180"/>
      <c r="AJ71" s="211"/>
      <c r="AK71" s="212"/>
      <c r="AL71" s="233"/>
      <c r="AM71" s="212"/>
      <c r="AN71" s="233"/>
      <c r="AO71" s="212"/>
      <c r="AP71" s="233"/>
      <c r="AQ71" s="212"/>
      <c r="AR71" s="233"/>
      <c r="AS71" s="212"/>
      <c r="AT71" s="389">
        <v>8.39</v>
      </c>
      <c r="AU71" s="204">
        <f>AT71/$S71</f>
        <v>1</v>
      </c>
      <c r="AV71" s="234">
        <v>8.2129999999999992</v>
      </c>
      <c r="AW71" s="204">
        <f>AV71/$S71</f>
        <v>0.97890345649582822</v>
      </c>
      <c r="AX71" s="234">
        <v>8.2100000000000009</v>
      </c>
      <c r="AY71" s="204">
        <f>AX71/$S71</f>
        <v>0.97854588796185937</v>
      </c>
      <c r="AZ71" s="234">
        <v>8.2129999999999992</v>
      </c>
      <c r="BA71" s="204">
        <f>AZ71/$S71</f>
        <v>0.97890345649582822</v>
      </c>
      <c r="BB71" s="234">
        <v>8.2129999999999992</v>
      </c>
      <c r="BC71" s="204">
        <f>BB71/$S71</f>
        <v>0.97890345649582822</v>
      </c>
      <c r="BD71" s="234">
        <v>8.2100000000000009</v>
      </c>
      <c r="BE71" s="204">
        <f>BD71/$S71</f>
        <v>0.97854588796185937</v>
      </c>
      <c r="BF71" s="234">
        <v>8.2100000000000009</v>
      </c>
      <c r="BG71" s="204">
        <f>BF71/$S71</f>
        <v>0.97854588796185937</v>
      </c>
      <c r="BH71" s="234">
        <v>8.2136899999999997</v>
      </c>
      <c r="BI71" s="204">
        <f>BH71/$S71</f>
        <v>0.97898569725864115</v>
      </c>
      <c r="BJ71" s="235"/>
      <c r="BK71" s="236"/>
      <c r="BL71" s="237" t="s">
        <v>200</v>
      </c>
      <c r="BM71" s="238" t="s">
        <v>204</v>
      </c>
    </row>
    <row r="72" spans="1:65" s="24" customFormat="1" ht="9" customHeight="1" thickBot="1">
      <c r="A72" s="239"/>
      <c r="B72" s="240"/>
      <c r="C72" s="240"/>
      <c r="D72" s="241"/>
      <c r="E72" s="242"/>
      <c r="F72" s="243"/>
      <c r="G72" s="243"/>
      <c r="H72" s="243"/>
      <c r="I72" s="243"/>
      <c r="J72" s="243"/>
      <c r="K72" s="243"/>
      <c r="L72" s="244"/>
      <c r="M72" s="245"/>
      <c r="N72" s="245"/>
      <c r="O72" s="245"/>
      <c r="P72" s="245"/>
      <c r="Q72" s="245"/>
      <c r="R72" s="245"/>
      <c r="S72" s="245"/>
      <c r="T72" s="246"/>
      <c r="U72" s="247"/>
      <c r="V72" s="246"/>
      <c r="W72" s="247"/>
      <c r="X72" s="246"/>
      <c r="Y72" s="247"/>
      <c r="Z72" s="246"/>
      <c r="AA72" s="247"/>
      <c r="AB72" s="246"/>
      <c r="AC72" s="247"/>
      <c r="AD72" s="246"/>
      <c r="AE72" s="247"/>
      <c r="AF72" s="246"/>
      <c r="AG72" s="247"/>
      <c r="AH72" s="246"/>
      <c r="AI72" s="247"/>
      <c r="AJ72" s="246"/>
      <c r="AK72" s="247"/>
      <c r="AL72" s="246"/>
      <c r="AM72" s="247"/>
      <c r="AN72" s="246"/>
      <c r="AO72" s="247"/>
      <c r="AP72" s="246"/>
      <c r="AQ72" s="247"/>
      <c r="AR72" s="246"/>
      <c r="AS72" s="247"/>
      <c r="AT72" s="246"/>
      <c r="AU72" s="247"/>
      <c r="AV72" s="246"/>
      <c r="AW72" s="247"/>
      <c r="AX72" s="246"/>
      <c r="AY72" s="247"/>
      <c r="AZ72" s="246"/>
      <c r="BA72" s="247"/>
      <c r="BB72" s="246"/>
      <c r="BC72" s="247"/>
      <c r="BD72" s="246"/>
      <c r="BE72" s="247"/>
      <c r="BF72" s="246"/>
      <c r="BG72" s="247"/>
      <c r="BH72" s="246"/>
      <c r="BI72" s="247"/>
      <c r="BJ72" s="246"/>
      <c r="BK72" s="247"/>
      <c r="BL72" s="248"/>
      <c r="BM72" s="249"/>
    </row>
    <row r="73" spans="1:65" s="257" customFormat="1" ht="13.5" thickBot="1">
      <c r="A73" s="411" t="s">
        <v>205</v>
      </c>
      <c r="B73" s="411"/>
      <c r="C73" s="250"/>
      <c r="D73" s="251"/>
      <c r="E73" s="252">
        <f t="shared" ref="E73:P73" si="90">SUM(E65:E71)</f>
        <v>98</v>
      </c>
      <c r="F73" s="252">
        <f t="shared" si="90"/>
        <v>166</v>
      </c>
      <c r="G73" s="252">
        <f t="shared" si="90"/>
        <v>166</v>
      </c>
      <c r="H73" s="252">
        <f t="shared" si="90"/>
        <v>166</v>
      </c>
      <c r="I73" s="252">
        <f t="shared" si="90"/>
        <v>141.9</v>
      </c>
      <c r="J73" s="252">
        <f t="shared" si="90"/>
        <v>133</v>
      </c>
      <c r="K73" s="252">
        <f t="shared" si="90"/>
        <v>166</v>
      </c>
      <c r="L73" s="252">
        <f t="shared" si="90"/>
        <v>160.6</v>
      </c>
      <c r="M73" s="253">
        <f t="shared" si="90"/>
        <v>164.4</v>
      </c>
      <c r="N73" s="253">
        <f t="shared" si="90"/>
        <v>150.80000000000001</v>
      </c>
      <c r="O73" s="253">
        <f t="shared" si="90"/>
        <v>157</v>
      </c>
      <c r="P73" s="253">
        <f t="shared" si="90"/>
        <v>161</v>
      </c>
      <c r="Q73" s="253">
        <f>SUM(Q64:Q71)</f>
        <v>173.58999999999997</v>
      </c>
      <c r="R73" s="253">
        <f>SUM(R64:R71)</f>
        <v>173.54500000000002</v>
      </c>
      <c r="S73" s="253">
        <f>SUM(S64:S71)</f>
        <v>145.03300000000002</v>
      </c>
      <c r="T73" s="254"/>
      <c r="U73" s="255"/>
      <c r="V73" s="254"/>
      <c r="W73" s="255"/>
      <c r="X73" s="254"/>
      <c r="Y73" s="255"/>
      <c r="Z73" s="254"/>
      <c r="AA73" s="255"/>
      <c r="AB73" s="254"/>
      <c r="AC73" s="255"/>
      <c r="AD73" s="253">
        <f>SUM(AD64:AD71)</f>
        <v>48</v>
      </c>
      <c r="AE73" s="256">
        <f>AE69</f>
        <v>1</v>
      </c>
      <c r="AF73" s="253">
        <f>SUM(AF64:AF71)</f>
        <v>48</v>
      </c>
      <c r="AG73" s="256">
        <f>AG69</f>
        <v>1</v>
      </c>
      <c r="AH73" s="253">
        <f>SUM(AH64:AH71)</f>
        <v>48</v>
      </c>
      <c r="AI73" s="256">
        <f>AI69</f>
        <v>1</v>
      </c>
      <c r="AJ73" s="253">
        <f>SUM(AJ64:AJ71)</f>
        <v>107.33</v>
      </c>
      <c r="AK73" s="256">
        <f>AJ73/($S$73-$S$68-$S$71-$S$65-$S$66+suivi_droits_acquis_Entraygues!P2)</f>
        <v>0.99999999999999989</v>
      </c>
      <c r="AL73" s="253">
        <f>SUM(AL64:AL71)</f>
        <v>107.33</v>
      </c>
      <c r="AM73" s="256">
        <f>AL73/($S$73-$S$68-$S$71-$S$65-$S$66+suivi_droits_acquis_Entraygues!Q2)</f>
        <v>0.99999999999999989</v>
      </c>
      <c r="AN73" s="253">
        <f>SUM(AN64:AN71)</f>
        <v>109.01990000000001</v>
      </c>
      <c r="AO73" s="256">
        <f>AN73/($S$73-$S$71-$S$65-$S$66+suivi_droits_acquis_Entraygues!R2)</f>
        <v>0.9917210952424268</v>
      </c>
      <c r="AP73" s="253">
        <f>SUM(AP64:AP71)</f>
        <v>102.787182</v>
      </c>
      <c r="AQ73" s="256">
        <f>AP73/($S$73-$S$71-$S$65-$S$66+suivi_droits_acquis_Entraygues!S2)</f>
        <v>0.935023942508869</v>
      </c>
      <c r="AR73" s="253">
        <f>SUM(AR64:AR71)</f>
        <v>94.047781999999998</v>
      </c>
      <c r="AS73" s="256">
        <f>AR73/($S$73-$S$71-$S$65-$S$66+suivi_droits_acquis_Entraygues!T2)</f>
        <v>0.8549409754102083</v>
      </c>
      <c r="AT73" s="253">
        <f>SUM(AT64:AT71)</f>
        <v>94.600999999999999</v>
      </c>
      <c r="AU73" s="256">
        <f>AT73/($S$73-$S$65-$S$66+suivi_droits_acquis_Entraygues!U2)</f>
        <v>0.79461915801498495</v>
      </c>
      <c r="AV73" s="253">
        <f>SUM(AV64:AV71)</f>
        <v>105.65428</v>
      </c>
      <c r="AW73" s="256">
        <f>AV73/($S73-$S$65+suivi_droits_acquis_Entraygues!V2)</f>
        <v>0.73245391585266928</v>
      </c>
      <c r="AX73" s="253">
        <f>SUM(AX64:AX71)</f>
        <v>104.15428</v>
      </c>
      <c r="AY73" s="256">
        <f>AX73/($S73-$S$65+suivi_droits_acquis_Entraygues!W2)</f>
        <v>0.71821622143458042</v>
      </c>
      <c r="AZ73" s="253">
        <f>SUM(AZ64:AZ71)</f>
        <v>103.27527999999998</v>
      </c>
      <c r="BA73" s="256">
        <f>AZ73/($S73-$S$65-$S$68+suivi_droits_acquis_Entraygues!X2)</f>
        <v>0.72515608982010671</v>
      </c>
      <c r="BB73" s="253">
        <f>SUM(BB64:BB71)</f>
        <v>103.28128</v>
      </c>
      <c r="BC73" s="256">
        <f>BB73/($S73-$S$65+suivi_droits_acquis_Entraygues!Y2)</f>
        <v>0.7121226203691573</v>
      </c>
      <c r="BD73" s="253">
        <f>SUM(BD64:BD71)</f>
        <v>103.27828</v>
      </c>
      <c r="BE73" s="256">
        <f>BD73/($S73-$S$65+suivi_droits_acquis_Entraygues!Z2)</f>
        <v>0.71210193542159361</v>
      </c>
      <c r="BF73" s="253">
        <f>SUM(BF64:BF71)</f>
        <v>103.27828</v>
      </c>
      <c r="BG73" s="256">
        <f>BF73/($S73-$S$65+suivi_droits_acquis_Entraygues!AA2)</f>
        <v>0.71210193542159361</v>
      </c>
      <c r="BH73" s="253">
        <f>SUM(BH64:BH71)</f>
        <v>103.28197</v>
      </c>
      <c r="BI73" s="256">
        <f>BH73/($S73-$S$65+suivi_droits_acquis_Entraygues!AB2)</f>
        <v>0.7121273779070969</v>
      </c>
      <c r="BJ73" s="254"/>
      <c r="BK73" s="255"/>
      <c r="BM73" s="258"/>
    </row>
    <row r="74" spans="1:65">
      <c r="AP74" s="50"/>
    </row>
    <row r="75" spans="1:65" ht="89.25" customHeight="1">
      <c r="A75" s="412" t="s">
        <v>206</v>
      </c>
      <c r="B75" s="412"/>
      <c r="C75" s="412"/>
      <c r="D75" s="412"/>
      <c r="AJ75" s="160">
        <f>$AJ$73-AJ73</f>
        <v>0</v>
      </c>
      <c r="AK75" s="160"/>
      <c r="AL75" s="160">
        <f>$AJ$73-AL73</f>
        <v>0</v>
      </c>
      <c r="AM75" s="160"/>
      <c r="AN75" s="160">
        <f>$AJ$73-AN73</f>
        <v>-1.6899000000000086</v>
      </c>
      <c r="AO75" s="160"/>
      <c r="AP75" s="159">
        <f>$AJ$73-AP73</f>
        <v>4.5428179999999969</v>
      </c>
      <c r="AQ75" s="160"/>
      <c r="AR75" s="160">
        <f>$AJ$73-AR73</f>
        <v>13.282218</v>
      </c>
      <c r="AS75" s="160"/>
      <c r="AT75" s="160">
        <f>$AJ$73-AT73</f>
        <v>12.728999999999999</v>
      </c>
      <c r="AU75" s="160"/>
      <c r="AV75" s="160">
        <f>$AJ$73-AV73</f>
        <v>1.6757199999999983</v>
      </c>
      <c r="AW75" s="160"/>
      <c r="AX75" s="160">
        <f>$AJ$73-AX73</f>
        <v>3.1757199999999983</v>
      </c>
      <c r="AY75" s="160"/>
      <c r="AZ75" s="160">
        <f>$AJ$73-AZ73</f>
        <v>4.0547200000000174</v>
      </c>
      <c r="BA75" s="160"/>
      <c r="BB75" s="159">
        <f>$AJ$73-BB73</f>
        <v>4.048720000000003</v>
      </c>
      <c r="BC75" s="160"/>
      <c r="BD75" s="160">
        <f>$AJ$73-BD73</f>
        <v>4.0517200000000031</v>
      </c>
      <c r="BE75" s="160"/>
      <c r="BF75" s="160">
        <f>$AJ$73-BF73</f>
        <v>4.0517200000000031</v>
      </c>
      <c r="BG75" s="160"/>
      <c r="BH75" s="160">
        <f>$AJ$73-BH73</f>
        <v>4.0480299999999971</v>
      </c>
      <c r="BI75" s="160"/>
      <c r="BJ75" s="160">
        <f>$AJ$73-BJ73</f>
        <v>107.33</v>
      </c>
      <c r="BL75" s="154" t="s">
        <v>207</v>
      </c>
    </row>
    <row r="76" spans="1:65">
      <c r="AL76" s="159"/>
      <c r="AM76" s="159"/>
      <c r="AN76" s="159"/>
      <c r="AO76" s="159"/>
      <c r="AP76" s="159">
        <f>AJ73-AP73</f>
        <v>4.5428179999999969</v>
      </c>
      <c r="AQ76" s="159"/>
      <c r="AR76" s="159"/>
      <c r="AS76" s="159"/>
      <c r="AT76" s="159"/>
      <c r="AU76" s="159"/>
      <c r="AV76" s="159">
        <f>AP73-AV73</f>
        <v>-2.8670979999999986</v>
      </c>
      <c r="AW76" s="159"/>
      <c r="AX76" s="159"/>
      <c r="AY76" s="159"/>
      <c r="AZ76" s="159"/>
      <c r="BA76" s="159"/>
      <c r="BB76" s="159">
        <f>AV73-BB73</f>
        <v>2.3730000000000047</v>
      </c>
      <c r="BC76" s="159"/>
      <c r="BD76" s="159"/>
      <c r="BE76" s="159"/>
      <c r="BF76" s="159"/>
      <c r="BG76" s="159"/>
      <c r="BH76" s="159">
        <f>BB73-BH73</f>
        <v>-6.900000000058526E-4</v>
      </c>
      <c r="BI76" s="159"/>
      <c r="BL76" s="154" t="s">
        <v>158</v>
      </c>
    </row>
    <row r="77" spans="1:65">
      <c r="A77" s="407" t="s">
        <v>415</v>
      </c>
      <c r="B77" s="408"/>
      <c r="AX77" s="259"/>
    </row>
    <row r="78" spans="1:65">
      <c r="A78" s="407"/>
      <c r="B78" s="408"/>
      <c r="BL78" s="260"/>
    </row>
    <row r="79" spans="1:65">
      <c r="A79" s="407"/>
      <c r="B79" s="408"/>
    </row>
    <row r="80" spans="1:65">
      <c r="A80" s="407"/>
      <c r="B80" s="408"/>
    </row>
    <row r="81" spans="1:2">
      <c r="A81" s="407"/>
      <c r="B81" s="408"/>
    </row>
    <row r="82" spans="1:2">
      <c r="A82" s="409"/>
      <c r="B82" s="410"/>
    </row>
    <row r="122" spans="65:65">
      <c r="BM122" s="12" t="s">
        <v>208</v>
      </c>
    </row>
  </sheetData>
  <autoFilter ref="A1:BP1" xr:uid="{00000000-0001-0000-0100-000000000000}"/>
  <mergeCells count="8">
    <mergeCell ref="A77:B82"/>
    <mergeCell ref="A73:B73"/>
    <mergeCell ref="A75:D75"/>
    <mergeCell ref="A14:B14"/>
    <mergeCell ref="A31:B31"/>
    <mergeCell ref="A43:B43"/>
    <mergeCell ref="A58:B58"/>
    <mergeCell ref="A60:B60"/>
  </mergeCells>
  <pageMargins left="0.55138888888888904" right="0.55138888888888904" top="0.59027777777777801" bottom="0.59027777777777801" header="0.511811023622047" footer="0.511811023622047"/>
  <pageSetup paperSize="8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129"/>
  <sheetViews>
    <sheetView topLeftCell="X10" zoomScale="70" zoomScaleNormal="70" workbookViewId="0">
      <selection activeCell="AE86" sqref="AE86"/>
    </sheetView>
  </sheetViews>
  <sheetFormatPr baseColWidth="10" defaultColWidth="13.453125" defaultRowHeight="13"/>
  <cols>
    <col min="1" max="1" width="27.7265625" customWidth="1"/>
    <col min="2" max="2" width="24.81640625" style="73" customWidth="1"/>
    <col min="3" max="3" width="23.26953125" customWidth="1"/>
    <col min="4" max="4" width="21.26953125" customWidth="1"/>
    <col min="5" max="5" width="21.453125" style="262" customWidth="1"/>
    <col min="6" max="6" width="21.26953125" customWidth="1"/>
    <col min="7" max="7" width="1.81640625" customWidth="1"/>
    <col min="8" max="8" width="2" style="263" customWidth="1"/>
    <col min="9" max="9" width="2" customWidth="1"/>
    <col min="10" max="10" width="20" customWidth="1"/>
    <col min="11" max="12" width="15.81640625" customWidth="1"/>
    <col min="13" max="13" width="2" customWidth="1"/>
    <col min="14" max="14" width="9.81640625" style="263" customWidth="1"/>
    <col min="15" max="15" width="1.54296875" customWidth="1"/>
    <col min="16" max="16" width="9.453125" style="264" customWidth="1"/>
    <col min="17" max="17" width="22.26953125" customWidth="1"/>
    <col min="21" max="21" width="12.81640625" style="264" customWidth="1"/>
    <col min="22" max="22" width="11.453125" customWidth="1"/>
    <col min="23" max="23" width="17.453125" customWidth="1"/>
    <col min="24" max="24" width="16" customWidth="1"/>
    <col min="25" max="25" width="18.453125" customWidth="1"/>
    <col min="26" max="26" width="11.54296875" customWidth="1"/>
    <col min="27" max="27" width="23.1796875" customWidth="1"/>
    <col min="33" max="33" width="16.26953125" customWidth="1"/>
    <col min="34" max="34" width="23.1796875" customWidth="1"/>
    <col min="35" max="35" width="19.1796875" customWidth="1"/>
    <col min="37" max="37" width="24.26953125" customWidth="1"/>
    <col min="38" max="38" width="16.7265625" customWidth="1"/>
    <col min="45" max="45" width="10.54296875" customWidth="1"/>
  </cols>
  <sheetData>
    <row r="1" spans="1:35">
      <c r="A1" s="73" t="s">
        <v>215</v>
      </c>
      <c r="C1" s="73"/>
      <c r="D1" s="73"/>
      <c r="E1" s="73"/>
    </row>
    <row r="2" spans="1:35">
      <c r="R2" s="419" t="s">
        <v>347</v>
      </c>
      <c r="S2" s="419"/>
      <c r="T2" s="416" t="s">
        <v>216</v>
      </c>
      <c r="U2" s="416"/>
      <c r="V2" s="417" t="s">
        <v>348</v>
      </c>
      <c r="W2" s="417"/>
      <c r="X2" s="418" t="s">
        <v>349</v>
      </c>
      <c r="Y2" s="418"/>
      <c r="AB2" s="419" t="s">
        <v>339</v>
      </c>
      <c r="AC2" s="419"/>
      <c r="AD2" s="416" t="s">
        <v>217</v>
      </c>
      <c r="AE2" s="416"/>
      <c r="AF2" s="417" t="s">
        <v>340</v>
      </c>
      <c r="AG2" s="417"/>
      <c r="AH2" s="418" t="s">
        <v>341</v>
      </c>
      <c r="AI2" s="418"/>
    </row>
    <row r="3" spans="1:35" ht="37.5">
      <c r="A3" s="265" t="s">
        <v>218</v>
      </c>
      <c r="B3" s="266" t="s">
        <v>342</v>
      </c>
      <c r="C3" s="265" t="s">
        <v>219</v>
      </c>
      <c r="D3" s="266" t="s">
        <v>343</v>
      </c>
      <c r="E3" s="265" t="s">
        <v>220</v>
      </c>
      <c r="F3" s="265" t="s">
        <v>344</v>
      </c>
      <c r="M3" s="267"/>
      <c r="Q3" s="265" t="s">
        <v>218</v>
      </c>
      <c r="R3" s="268" t="s">
        <v>221</v>
      </c>
      <c r="S3" s="268" t="s">
        <v>222</v>
      </c>
      <c r="T3" s="269" t="s">
        <v>221</v>
      </c>
      <c r="U3" s="269" t="s">
        <v>222</v>
      </c>
      <c r="V3" s="270" t="s">
        <v>223</v>
      </c>
      <c r="W3" s="270" t="s">
        <v>224</v>
      </c>
      <c r="X3" s="271" t="s">
        <v>223</v>
      </c>
      <c r="Y3" s="271" t="s">
        <v>224</v>
      </c>
      <c r="AB3" s="268" t="s">
        <v>221</v>
      </c>
      <c r="AC3" s="268" t="s">
        <v>222</v>
      </c>
      <c r="AD3" s="269" t="s">
        <v>221</v>
      </c>
      <c r="AE3" s="269" t="s">
        <v>222</v>
      </c>
      <c r="AF3" s="270" t="s">
        <v>223</v>
      </c>
      <c r="AG3" s="270" t="s">
        <v>224</v>
      </c>
      <c r="AH3" s="271" t="s">
        <v>223</v>
      </c>
      <c r="AI3" s="271" t="s">
        <v>224</v>
      </c>
    </row>
    <row r="4" spans="1:35">
      <c r="A4" s="272" t="s">
        <v>225</v>
      </c>
      <c r="B4" s="273">
        <f>'Réserves 2024'!Y$14</f>
        <v>0.91486534752482318</v>
      </c>
      <c r="C4" s="274">
        <f>'Réserves 2023'!X14</f>
        <v>0.56804057432673749</v>
      </c>
      <c r="D4" s="273">
        <f>'Réserves 2024'!W14</f>
        <v>0.88380598614186723</v>
      </c>
      <c r="E4" s="274">
        <f>'Réserves 2023'!V14</f>
        <v>0.54475319665690403</v>
      </c>
      <c r="F4" s="273">
        <f>'Réserves 2024'!U14</f>
        <v>0.8641045788984929</v>
      </c>
      <c r="M4" s="9"/>
      <c r="Q4" s="272" t="s">
        <v>225</v>
      </c>
      <c r="R4" s="275">
        <f>'Réserves 2024'!Y$14</f>
        <v>0.91486534752482318</v>
      </c>
      <c r="S4" s="276">
        <f>'Réserves 2024'!X$14</f>
        <v>64.036000000000001</v>
      </c>
      <c r="T4" s="277">
        <f>'Réserves 2023'!X14</f>
        <v>0.56804057432673749</v>
      </c>
      <c r="U4" s="278">
        <f>'Réserves 2023'!W14</f>
        <v>39.759999999999991</v>
      </c>
      <c r="V4" s="277">
        <f t="shared" ref="V4:W11" si="0">R4-T4</f>
        <v>0.34682477319808569</v>
      </c>
      <c r="W4" s="276">
        <f t="shared" si="0"/>
        <v>24.27600000000001</v>
      </c>
      <c r="X4" s="279">
        <f>R4-AB4</f>
        <v>3.1059361382955952E-2</v>
      </c>
      <c r="Y4" s="280">
        <f t="shared" ref="X4:Y11" si="1">S4-AC4</f>
        <v>2.1739999999999995</v>
      </c>
      <c r="AA4" s="272" t="s">
        <v>225</v>
      </c>
      <c r="AB4" s="275">
        <f>'Réserves 2024'!W$14</f>
        <v>0.88380598614186723</v>
      </c>
      <c r="AC4" s="276">
        <f>'Réserves 2024'!V$14</f>
        <v>61.862000000000002</v>
      </c>
      <c r="AD4" s="277">
        <f>'Réserves 2023'!V14</f>
        <v>0.54475319665690403</v>
      </c>
      <c r="AE4" s="278">
        <f>'Réserves 2023'!U14</f>
        <v>38.130000000000003</v>
      </c>
      <c r="AF4" s="277">
        <f>AB4-AD4</f>
        <v>0.3390527894849632</v>
      </c>
      <c r="AG4" s="276">
        <f>AC4-AE4</f>
        <v>23.731999999999999</v>
      </c>
      <c r="AH4" s="279">
        <f t="shared" ref="AH4:AH11" si="2">AB4-F4</f>
        <v>1.9701407243374325E-2</v>
      </c>
      <c r="AI4" s="280">
        <f>AC4-'Réserves 2024'!T14</f>
        <v>1.3789999999999907</v>
      </c>
    </row>
    <row r="5" spans="1:35">
      <c r="A5" s="281" t="s">
        <v>226</v>
      </c>
      <c r="B5" s="282">
        <f>'Réserves 2024'!Y$16</f>
        <v>1.0122641509433963</v>
      </c>
      <c r="C5" s="283">
        <f>'Réserves 2023'!X16</f>
        <v>0.40424528301886797</v>
      </c>
      <c r="D5" s="282">
        <f>'Réserves 2024'!W16</f>
        <v>0.97028301886792456</v>
      </c>
      <c r="E5" s="283">
        <f>'Réserves 2023'!V16</f>
        <v>0.35943396226415103</v>
      </c>
      <c r="F5" s="282">
        <f>'Réserves 2024'!U16</f>
        <v>1.0047169811320755</v>
      </c>
      <c r="M5" s="9"/>
      <c r="Q5" s="281" t="s">
        <v>226</v>
      </c>
      <c r="R5" s="284">
        <f>'Réserves 2024'!Y$16</f>
        <v>1.0122641509433963</v>
      </c>
      <c r="S5" s="285">
        <f>'Réserves 2024'!X$16</f>
        <v>21.46</v>
      </c>
      <c r="T5" s="286">
        <f>'Réserves 2023'!X16</f>
        <v>0.40424528301886797</v>
      </c>
      <c r="U5" s="287">
        <f>'Réserves 2023'!W16</f>
        <v>8.57</v>
      </c>
      <c r="V5" s="288">
        <f t="shared" si="0"/>
        <v>0.60801886792452831</v>
      </c>
      <c r="W5" s="289">
        <f t="shared" si="0"/>
        <v>12.89</v>
      </c>
      <c r="X5" s="290">
        <f t="shared" si="1"/>
        <v>4.1981132075471717E-2</v>
      </c>
      <c r="Y5" s="291">
        <f t="shared" si="1"/>
        <v>0.89000000000000057</v>
      </c>
      <c r="AA5" s="281" t="s">
        <v>226</v>
      </c>
      <c r="AB5" s="284">
        <f>'Réserves 2024'!W$16</f>
        <v>0.97028301886792456</v>
      </c>
      <c r="AC5" s="285">
        <f>'Réserves 2024'!V$16</f>
        <v>20.57</v>
      </c>
      <c r="AD5" s="286">
        <f>'Réserves 2023'!V16</f>
        <v>0.35943396226415103</v>
      </c>
      <c r="AE5" s="287">
        <f>'Réserves 2023'!U16</f>
        <v>7.620000000000001</v>
      </c>
      <c r="AF5" s="288">
        <f t="shared" ref="AF5:AG11" si="3">AB5-AD5</f>
        <v>0.61084905660377353</v>
      </c>
      <c r="AG5" s="289">
        <f t="shared" si="3"/>
        <v>12.95</v>
      </c>
      <c r="AH5" s="290">
        <f t="shared" si="2"/>
        <v>-3.4433962264150964E-2</v>
      </c>
      <c r="AI5" s="291">
        <f>AC5-'Réserves 2024'!T16</f>
        <v>-0.73000000000000043</v>
      </c>
    </row>
    <row r="6" spans="1:35">
      <c r="A6" s="272" t="s">
        <v>227</v>
      </c>
      <c r="B6" s="273">
        <f>'Réserves 2024'!Y$18</f>
        <v>1.0136217948717947</v>
      </c>
      <c r="C6" s="274">
        <f>'Réserves 2023'!X18</f>
        <v>0.67440686521958604</v>
      </c>
      <c r="D6" s="273">
        <f>'Réserves 2024'!W18</f>
        <v>1.0036057692307692</v>
      </c>
      <c r="E6" s="274">
        <f>'Réserves 2023'!V18</f>
        <v>0.6360424028268552</v>
      </c>
      <c r="F6" s="273">
        <f>'Réserves 2024'!U18</f>
        <v>1</v>
      </c>
      <c r="M6" s="9"/>
      <c r="Q6" s="272" t="s">
        <v>227</v>
      </c>
      <c r="R6" s="275">
        <f>'Réserves 2024'!Y$18</f>
        <v>1.0136217948717947</v>
      </c>
      <c r="S6" s="276">
        <f>'Réserves 2024'!X$18</f>
        <v>5.0599999999999996</v>
      </c>
      <c r="T6" s="277">
        <f>'Réserves 2023'!X18</f>
        <v>0.67440686521958604</v>
      </c>
      <c r="U6" s="278">
        <f>'Réserves 2023'!W18</f>
        <v>3.34</v>
      </c>
      <c r="V6" s="277">
        <f t="shared" si="0"/>
        <v>0.33921492965220867</v>
      </c>
      <c r="W6" s="276">
        <f t="shared" si="0"/>
        <v>1.7199999999999998</v>
      </c>
      <c r="X6" s="279">
        <f t="shared" si="1"/>
        <v>1.001602564102555E-2</v>
      </c>
      <c r="Y6" s="280">
        <f t="shared" si="1"/>
        <v>4.9999999999999822E-2</v>
      </c>
      <c r="AA6" s="272" t="s">
        <v>227</v>
      </c>
      <c r="AB6" s="275">
        <f>'Réserves 2024'!W$18</f>
        <v>1.0036057692307692</v>
      </c>
      <c r="AC6" s="276">
        <f>'Réserves 2024'!V$18</f>
        <v>5.01</v>
      </c>
      <c r="AD6" s="277">
        <f>'Réserves 2023'!V18</f>
        <v>0.6360424028268552</v>
      </c>
      <c r="AE6" s="278">
        <f>'Réserves 2023'!U18</f>
        <v>3.15</v>
      </c>
      <c r="AF6" s="277">
        <f t="shared" si="3"/>
        <v>0.36756336640391396</v>
      </c>
      <c r="AG6" s="276">
        <f t="shared" si="3"/>
        <v>1.8599999999999999</v>
      </c>
      <c r="AH6" s="279">
        <f t="shared" si="2"/>
        <v>3.6057692307691624E-3</v>
      </c>
      <c r="AI6" s="280">
        <f>AC6-'Réserves 2024'!T18</f>
        <v>1.7999999999999794E-2</v>
      </c>
    </row>
    <row r="7" spans="1:35">
      <c r="A7" s="281" t="s">
        <v>228</v>
      </c>
      <c r="B7" s="282">
        <f>'Réserves 2024'!Y$31</f>
        <v>0.48490703079604891</v>
      </c>
      <c r="C7" s="283">
        <f>'Réserves 2023'!X31</f>
        <v>0.33265543288785598</v>
      </c>
      <c r="D7" s="282">
        <f>'Réserves 2024'!W31</f>
        <v>0.42977919814061599</v>
      </c>
      <c r="E7" s="283">
        <f>'Réserves 2023'!V31</f>
        <v>0.31796194073213258</v>
      </c>
      <c r="F7" s="282">
        <f>'Réserves 2024'!U31</f>
        <v>0.39300552004648465</v>
      </c>
      <c r="M7" s="9"/>
      <c r="Q7" s="281" t="s">
        <v>228</v>
      </c>
      <c r="R7" s="284">
        <f>'Réserves 2024'!Y$31</f>
        <v>0.48490703079604891</v>
      </c>
      <c r="S7" s="285">
        <f>'Réserves 2024'!X$31</f>
        <v>66.762</v>
      </c>
      <c r="T7" s="286">
        <f>'Réserves 2023'!X31</f>
        <v>0.33265543288785598</v>
      </c>
      <c r="U7" s="287">
        <f>'Réserves 2023'!W31</f>
        <v>45.800000000000004</v>
      </c>
      <c r="V7" s="288">
        <f t="shared" si="0"/>
        <v>0.15225159790819293</v>
      </c>
      <c r="W7" s="289">
        <f t="shared" si="0"/>
        <v>20.961999999999996</v>
      </c>
      <c r="X7" s="290">
        <f t="shared" si="1"/>
        <v>5.5127832655432918E-2</v>
      </c>
      <c r="Y7" s="291">
        <f t="shared" si="1"/>
        <v>7.5900000000000034</v>
      </c>
      <c r="AA7" s="281" t="s">
        <v>228</v>
      </c>
      <c r="AB7" s="284">
        <f>'Réserves 2024'!W$31</f>
        <v>0.42977919814061599</v>
      </c>
      <c r="AC7" s="285">
        <f>'Réserves 2024'!V$31</f>
        <v>59.171999999999997</v>
      </c>
      <c r="AD7" s="286">
        <f>'Réserves 2023'!V31</f>
        <v>0.31796194073213258</v>
      </c>
      <c r="AE7" s="287">
        <f>'Réserves 2023'!U31</f>
        <v>43.777000000000008</v>
      </c>
      <c r="AF7" s="288">
        <f t="shared" si="3"/>
        <v>0.11181725740848342</v>
      </c>
      <c r="AG7" s="289">
        <f t="shared" si="3"/>
        <v>15.394999999999989</v>
      </c>
      <c r="AH7" s="290">
        <f t="shared" si="2"/>
        <v>3.6773678094131346E-2</v>
      </c>
      <c r="AI7" s="291">
        <f>AC7-'Réserves 2024'!T31</f>
        <v>5.0630000000000024</v>
      </c>
    </row>
    <row r="8" spans="1:35">
      <c r="A8" s="272" t="s">
        <v>229</v>
      </c>
      <c r="B8" s="273">
        <f>'Réserves 2024'!Y$45</f>
        <v>1</v>
      </c>
      <c r="C8" s="274" t="s">
        <v>346</v>
      </c>
      <c r="D8" s="273">
        <f>'Réserves 2024'!W45</f>
        <v>1</v>
      </c>
      <c r="E8" s="274" t="s">
        <v>346</v>
      </c>
      <c r="F8" s="273">
        <f>'Réserves 2024'!U45</f>
        <v>1</v>
      </c>
      <c r="M8" s="9"/>
      <c r="Q8" s="272" t="s">
        <v>229</v>
      </c>
      <c r="R8" s="275">
        <f>'Réserves 2024'!Y$45</f>
        <v>1</v>
      </c>
      <c r="S8" s="276">
        <f>'Réserves 2024'!X$45</f>
        <v>8.1999999999999993</v>
      </c>
      <c r="T8" s="277">
        <f>'Réserves 2023'!X45</f>
        <v>0</v>
      </c>
      <c r="U8" s="292">
        <f>'Réserves 2023'!W45</f>
        <v>0</v>
      </c>
      <c r="V8" s="277">
        <f t="shared" si="0"/>
        <v>1</v>
      </c>
      <c r="W8" s="276">
        <f t="shared" si="0"/>
        <v>8.1999999999999993</v>
      </c>
      <c r="X8" s="279">
        <f t="shared" si="1"/>
        <v>0</v>
      </c>
      <c r="Y8" s="280">
        <f t="shared" si="1"/>
        <v>0</v>
      </c>
      <c r="AA8" s="272" t="s">
        <v>229</v>
      </c>
      <c r="AB8" s="275">
        <f>'Réserves 2024'!W$45</f>
        <v>1</v>
      </c>
      <c r="AC8" s="276">
        <f>'Réserves 2024'!V$45</f>
        <v>8.1999999999999993</v>
      </c>
      <c r="AD8" s="379" t="s">
        <v>345</v>
      </c>
      <c r="AE8" s="292" t="s">
        <v>345</v>
      </c>
      <c r="AF8" s="277" t="s">
        <v>345</v>
      </c>
      <c r="AG8" s="276" t="s">
        <v>345</v>
      </c>
      <c r="AH8" s="279" t="s">
        <v>345</v>
      </c>
      <c r="AI8" s="280" t="s">
        <v>345</v>
      </c>
    </row>
    <row r="9" spans="1:35">
      <c r="A9" s="281" t="s">
        <v>230</v>
      </c>
      <c r="B9" s="282">
        <f>'Réserves 2024'!Y$43</f>
        <v>0.92155761894479238</v>
      </c>
      <c r="C9" s="283">
        <f>'Réserves 2023'!X43</f>
        <v>0.58691427337508106</v>
      </c>
      <c r="D9" s="282">
        <f>'Réserves 2024'!W43</f>
        <v>0.80077736989850989</v>
      </c>
      <c r="E9" s="283">
        <f>'Réserves 2023'!V43</f>
        <v>0.53652918736054134</v>
      </c>
      <c r="F9" s="282">
        <f>'Réserves 2024'!U43</f>
        <v>0.75427913337652053</v>
      </c>
      <c r="M9" s="9"/>
      <c r="Q9" s="281" t="s">
        <v>230</v>
      </c>
      <c r="R9" s="284">
        <f>'Réserves 2024'!Y$43</f>
        <v>0.92155761894479238</v>
      </c>
      <c r="S9" s="285">
        <f>'Réserves 2024'!X$43</f>
        <v>64.016000000000005</v>
      </c>
      <c r="T9" s="286">
        <f>'Réserves 2023'!X43</f>
        <v>0.58691427337508106</v>
      </c>
      <c r="U9" s="287">
        <f>'Réserves 2023'!W43</f>
        <v>40.77000000000001</v>
      </c>
      <c r="V9" s="288">
        <f t="shared" si="0"/>
        <v>0.33464334556971131</v>
      </c>
      <c r="W9" s="289">
        <f t="shared" si="0"/>
        <v>23.245999999999995</v>
      </c>
      <c r="X9" s="290">
        <f t="shared" si="1"/>
        <v>0.12078024904628248</v>
      </c>
      <c r="Y9" s="291">
        <f t="shared" si="1"/>
        <v>8.3900000000000148</v>
      </c>
      <c r="AA9" s="281" t="s">
        <v>230</v>
      </c>
      <c r="AB9" s="284">
        <f>'Réserves 2024'!W$43</f>
        <v>0.80077736989850989</v>
      </c>
      <c r="AC9" s="285">
        <f>'Réserves 2024'!V$43</f>
        <v>55.625999999999991</v>
      </c>
      <c r="AD9" s="286">
        <f>'Réserves 2023'!V43</f>
        <v>0.53652918736054134</v>
      </c>
      <c r="AE9" s="287">
        <f>'Réserves 2023'!U43</f>
        <v>37.270000000000003</v>
      </c>
      <c r="AF9" s="288">
        <f t="shared" si="3"/>
        <v>0.26424818253796856</v>
      </c>
      <c r="AG9" s="289">
        <f t="shared" si="3"/>
        <v>18.355999999999987</v>
      </c>
      <c r="AH9" s="290">
        <f t="shared" si="2"/>
        <v>4.6498236521989367E-2</v>
      </c>
      <c r="AI9" s="291">
        <f>AC9-'Réserves 2024'!T43</f>
        <v>3.2299999999999898</v>
      </c>
    </row>
    <row r="10" spans="1:35">
      <c r="A10" s="272" t="s">
        <v>231</v>
      </c>
      <c r="B10" s="273">
        <f>'Réserves 2024'!Y$58</f>
        <v>0.93789131524491332</v>
      </c>
      <c r="C10" s="274">
        <f>'Réserves 2023'!X58</f>
        <v>0.45642781132607657</v>
      </c>
      <c r="D10" s="273">
        <f>'Réserves 2024'!W58</f>
        <v>0.80475688598126005</v>
      </c>
      <c r="E10" s="274">
        <f>'Réserves 2023'!V58</f>
        <v>0.43704245035065453</v>
      </c>
      <c r="F10" s="273">
        <f>'Réserves 2024'!U58</f>
        <v>0.72001862396051541</v>
      </c>
      <c r="M10" s="9"/>
      <c r="Q10" s="272" t="s">
        <v>231</v>
      </c>
      <c r="R10" s="275">
        <f>'Réserves 2024'!Y$58</f>
        <v>0.93789131524491332</v>
      </c>
      <c r="S10" s="276">
        <f>'Réserves 2024'!X$58</f>
        <v>72.970758000000018</v>
      </c>
      <c r="T10" s="277">
        <f>'Réserves 2023'!X58</f>
        <v>0.45642781132607657</v>
      </c>
      <c r="U10" s="278">
        <f>'Réserves 2023'!W58</f>
        <v>35.6</v>
      </c>
      <c r="V10" s="277">
        <f t="shared" si="0"/>
        <v>0.48146350391883674</v>
      </c>
      <c r="W10" s="276">
        <f t="shared" si="0"/>
        <v>37.370758000000016</v>
      </c>
      <c r="X10" s="279">
        <f t="shared" si="1"/>
        <v>0.13313442926365326</v>
      </c>
      <c r="Y10" s="280">
        <f t="shared" si="1"/>
        <v>10.358258000000021</v>
      </c>
      <c r="AA10" s="272" t="s">
        <v>231</v>
      </c>
      <c r="AB10" s="275">
        <f>'Réserves 2024'!W$58</f>
        <v>0.80475688598126005</v>
      </c>
      <c r="AC10" s="276">
        <f>'Réserves 2024'!V$58</f>
        <v>62.612499999999997</v>
      </c>
      <c r="AD10" s="277">
        <f>'Réserves 2023'!V58</f>
        <v>0.43704245035065453</v>
      </c>
      <c r="AE10" s="278">
        <f>'Réserves 2023'!U58</f>
        <v>34.088000000000008</v>
      </c>
      <c r="AF10" s="277">
        <f t="shared" si="3"/>
        <v>0.36771443563060552</v>
      </c>
      <c r="AG10" s="276">
        <f t="shared" si="3"/>
        <v>28.524499999999989</v>
      </c>
      <c r="AH10" s="279">
        <f t="shared" si="2"/>
        <v>8.4738262020744637E-2</v>
      </c>
      <c r="AI10" s="280">
        <f>AC10-'Réserves 2024'!T58</f>
        <v>6.5928910000000016</v>
      </c>
    </row>
    <row r="11" spans="1:35">
      <c r="A11" s="293" t="s">
        <v>232</v>
      </c>
      <c r="B11" s="294">
        <f>'Réserves 2024'!Y$60</f>
        <v>0.77697807286783882</v>
      </c>
      <c r="C11" s="295">
        <f>'Réserves 2023'!X60</f>
        <v>0.45592653351324913</v>
      </c>
      <c r="D11" s="294">
        <f>'Réserves 2024'!W60</f>
        <v>0.70133047375653357</v>
      </c>
      <c r="E11" s="295">
        <f>'Réserves 2023'!V60</f>
        <v>0.43021116500716655</v>
      </c>
      <c r="F11" s="294">
        <f>'Réserves 2024'!U60</f>
        <v>0.66138315075706011</v>
      </c>
      <c r="Q11" s="293" t="s">
        <v>232</v>
      </c>
      <c r="R11" s="296">
        <f>'Réserves 2024'!Y$60</f>
        <v>0.77697807286783882</v>
      </c>
      <c r="S11" s="297">
        <f>'Réserves 2024'!X$60</f>
        <v>302.50475800000004</v>
      </c>
      <c r="T11" s="298">
        <f>'Réserves 2023'!X60</f>
        <v>0.45592653351324913</v>
      </c>
      <c r="U11" s="299">
        <f>'Réserves 2023'!W60</f>
        <v>173.84</v>
      </c>
      <c r="V11" s="300">
        <f t="shared" si="0"/>
        <v>0.32105153935458969</v>
      </c>
      <c r="W11" s="301">
        <f t="shared" si="0"/>
        <v>128.66475800000003</v>
      </c>
      <c r="X11" s="302">
        <f t="shared" si="1"/>
        <v>7.5647599111305253E-2</v>
      </c>
      <c r="Y11" s="303">
        <f t="shared" si="1"/>
        <v>29.452258000000029</v>
      </c>
      <c r="AA11" s="293" t="s">
        <v>232</v>
      </c>
      <c r="AB11" s="296">
        <f>'Réserves 2024'!W$60</f>
        <v>0.70133047375653357</v>
      </c>
      <c r="AC11" s="297">
        <f>'Réserves 2024'!V$60</f>
        <v>273.05250000000001</v>
      </c>
      <c r="AD11" s="298">
        <f>'Réserves 2023'!V60</f>
        <v>0.43021116500716655</v>
      </c>
      <c r="AE11" s="299">
        <f>'Réserves 2023'!U60</f>
        <v>164.03500000000003</v>
      </c>
      <c r="AF11" s="300">
        <f t="shared" si="3"/>
        <v>0.27111930874936702</v>
      </c>
      <c r="AG11" s="301">
        <f t="shared" si="3"/>
        <v>109.01749999999998</v>
      </c>
      <c r="AH11" s="302">
        <f t="shared" si="2"/>
        <v>3.9947322999473456E-2</v>
      </c>
      <c r="AI11" s="303">
        <f>AC11-'Réserves 2024'!T60</f>
        <v>15.552890999999988</v>
      </c>
    </row>
    <row r="12" spans="1:35">
      <c r="M12" s="9"/>
    </row>
    <row r="13" spans="1:35">
      <c r="A13" s="293" t="s">
        <v>233</v>
      </c>
      <c r="B13" s="304"/>
      <c r="C13" s="305"/>
      <c r="D13" s="305"/>
      <c r="E13" s="305"/>
      <c r="F13" s="305"/>
      <c r="M13" s="9"/>
    </row>
    <row r="14" spans="1:35">
      <c r="B14" s="262"/>
      <c r="C14" s="9"/>
      <c r="D14" s="9"/>
      <c r="E14" s="9"/>
      <c r="F14" s="262"/>
      <c r="M14" s="262"/>
    </row>
    <row r="15" spans="1:35">
      <c r="B15" s="262"/>
      <c r="C15" s="9"/>
      <c r="D15" s="9"/>
      <c r="E15" s="9"/>
      <c r="F15" s="262"/>
      <c r="M15" s="262"/>
    </row>
    <row r="16" spans="1:35">
      <c r="A16" s="73" t="s">
        <v>234</v>
      </c>
      <c r="D16" s="73"/>
    </row>
    <row r="17" spans="1:45">
      <c r="R17" s="419" t="s">
        <v>352</v>
      </c>
      <c r="S17" s="419"/>
      <c r="T17" s="416" t="s">
        <v>353</v>
      </c>
      <c r="U17" s="416"/>
      <c r="V17" s="417" t="s">
        <v>354</v>
      </c>
      <c r="W17" s="417"/>
      <c r="X17" s="418" t="s">
        <v>355</v>
      </c>
      <c r="Y17" s="418"/>
      <c r="AB17" s="419" t="s">
        <v>356</v>
      </c>
      <c r="AC17" s="419"/>
      <c r="AD17" s="416" t="s">
        <v>235</v>
      </c>
      <c r="AE17" s="416"/>
      <c r="AF17" s="417" t="s">
        <v>357</v>
      </c>
      <c r="AG17" s="417"/>
      <c r="AH17" s="418" t="s">
        <v>358</v>
      </c>
      <c r="AI17" s="418"/>
    </row>
    <row r="18" spans="1:45" ht="37.5">
      <c r="A18" s="265" t="s">
        <v>218</v>
      </c>
      <c r="B18" s="266" t="s">
        <v>350</v>
      </c>
      <c r="C18" s="265" t="s">
        <v>236</v>
      </c>
      <c r="D18" s="266" t="s">
        <v>351</v>
      </c>
      <c r="E18" s="265" t="s">
        <v>237</v>
      </c>
      <c r="F18" s="265" t="s">
        <v>342</v>
      </c>
      <c r="M18" s="267"/>
      <c r="Q18" s="265" t="s">
        <v>218</v>
      </c>
      <c r="R18" s="268" t="s">
        <v>221</v>
      </c>
      <c r="S18" s="268" t="s">
        <v>222</v>
      </c>
      <c r="T18" s="269" t="s">
        <v>221</v>
      </c>
      <c r="U18" s="269" t="s">
        <v>222</v>
      </c>
      <c r="V18" s="270" t="s">
        <v>223</v>
      </c>
      <c r="W18" s="270" t="s">
        <v>224</v>
      </c>
      <c r="X18" s="271" t="s">
        <v>223</v>
      </c>
      <c r="Y18" s="271" t="s">
        <v>224</v>
      </c>
      <c r="AB18" s="268" t="s">
        <v>221</v>
      </c>
      <c r="AC18" s="268" t="s">
        <v>222</v>
      </c>
      <c r="AD18" s="269" t="s">
        <v>221</v>
      </c>
      <c r="AE18" s="269" t="s">
        <v>222</v>
      </c>
      <c r="AF18" s="270" t="s">
        <v>223</v>
      </c>
      <c r="AG18" s="270" t="s">
        <v>224</v>
      </c>
      <c r="AH18" s="271" t="s">
        <v>223</v>
      </c>
      <c r="AI18" s="271" t="s">
        <v>224</v>
      </c>
    </row>
    <row r="19" spans="1:45">
      <c r="A19" s="272" t="s">
        <v>225</v>
      </c>
      <c r="B19" s="273">
        <f>'Réserves 2024'!AC14</f>
        <v>0.95355382527323373</v>
      </c>
      <c r="C19" s="274">
        <f>'Réserves 2023'!AB14</f>
        <v>0.6789056361168655</v>
      </c>
      <c r="D19" s="273">
        <f>'Réserves 2024'!AA14</f>
        <v>0.94963925994713905</v>
      </c>
      <c r="E19" s="274">
        <f>'Réserves 2023'!Z14</f>
        <v>0.61410100721480099</v>
      </c>
      <c r="F19" s="273">
        <f t="shared" ref="F19:F26" si="4">B4</f>
        <v>0.91486534752482318</v>
      </c>
      <c r="M19" s="306"/>
      <c r="Q19" s="272" t="s">
        <v>225</v>
      </c>
      <c r="R19" s="275">
        <f>'Réserves 2024'!AC$14</f>
        <v>0.95355382527323373</v>
      </c>
      <c r="S19" s="276">
        <f>'Réserves 2024'!AB$14</f>
        <v>66.744</v>
      </c>
      <c r="T19" s="277">
        <f>'Réserves 2023'!AB14</f>
        <v>0.6789056361168655</v>
      </c>
      <c r="U19" s="278">
        <f>'Réserves 2023'!AA14</f>
        <v>47.52</v>
      </c>
      <c r="V19" s="277">
        <f t="shared" ref="V19:W26" si="5">R19-T19</f>
        <v>0.27464818915636824</v>
      </c>
      <c r="W19" s="276">
        <f t="shared" si="5"/>
        <v>19.223999999999997</v>
      </c>
      <c r="X19" s="279">
        <f t="shared" ref="X19:Y26" si="6">R19-AB19</f>
        <v>3.9145653260946878E-3</v>
      </c>
      <c r="Y19" s="280">
        <f t="shared" si="6"/>
        <v>0.27400000000000091</v>
      </c>
      <c r="AA19" s="272" t="s">
        <v>225</v>
      </c>
      <c r="AB19" s="275">
        <f>'Réserves 2024'!AA$14</f>
        <v>0.94963925994713905</v>
      </c>
      <c r="AC19" s="276">
        <f>'Réserves 2024'!Z$14</f>
        <v>66.47</v>
      </c>
      <c r="AD19" s="277">
        <f>'Réserves 2023'!Z14</f>
        <v>0.61410100721480099</v>
      </c>
      <c r="AE19" s="278">
        <f>'Réserves 2023'!Y14</f>
        <v>42.983999999999995</v>
      </c>
      <c r="AF19" s="277">
        <f t="shared" ref="AF19:AG26" si="7">AB19-AD19</f>
        <v>0.33553825273233806</v>
      </c>
      <c r="AG19" s="276">
        <f t="shared" si="7"/>
        <v>23.486000000000004</v>
      </c>
      <c r="AH19" s="279">
        <f t="shared" ref="AH19:AI26" si="8">AB19-R4</f>
        <v>3.4773912422315867E-2</v>
      </c>
      <c r="AI19" s="280">
        <f t="shared" si="8"/>
        <v>2.4339999999999975</v>
      </c>
    </row>
    <row r="20" spans="1:45">
      <c r="A20" s="281" t="s">
        <v>226</v>
      </c>
      <c r="B20" s="282">
        <f>'Réserves 2024'!AC16</f>
        <v>0.97405660377358483</v>
      </c>
      <c r="C20" s="283">
        <f>'Réserves 2023'!AB16</f>
        <v>0.89905660377358487</v>
      </c>
      <c r="D20" s="282">
        <f>'Réserves 2024'!AA16</f>
        <v>1.016509433962264</v>
      </c>
      <c r="E20" s="283">
        <f>'Réserves 2023'!Z16</f>
        <v>0.7212264150943396</v>
      </c>
      <c r="F20" s="282">
        <f t="shared" si="4"/>
        <v>1.0122641509433963</v>
      </c>
      <c r="M20" s="308"/>
      <c r="Q20" s="281" t="s">
        <v>226</v>
      </c>
      <c r="R20" s="284">
        <f>'Réserves 2024'!AC$16</f>
        <v>0.97405660377358483</v>
      </c>
      <c r="S20" s="285">
        <f>'Réserves 2024'!AB$16</f>
        <v>20.65</v>
      </c>
      <c r="T20" s="286">
        <f>'Réserves 2023'!AB16</f>
        <v>0.89905660377358487</v>
      </c>
      <c r="U20" s="287">
        <f>'Réserves 2023'!AA16</f>
        <v>19.059999999999999</v>
      </c>
      <c r="V20" s="288">
        <f t="shared" si="5"/>
        <v>7.4999999999999956E-2</v>
      </c>
      <c r="W20" s="289">
        <f t="shared" si="5"/>
        <v>1.5899999999999999</v>
      </c>
      <c r="X20" s="290">
        <f t="shared" si="6"/>
        <v>-4.245283018867918E-2</v>
      </c>
      <c r="Y20" s="291">
        <f t="shared" si="6"/>
        <v>-0.89999999999999858</v>
      </c>
      <c r="AA20" s="281" t="s">
        <v>226</v>
      </c>
      <c r="AB20" s="284">
        <f>'Réserves 2024'!AA$16</f>
        <v>1.016509433962264</v>
      </c>
      <c r="AC20" s="285">
        <f>'Réserves 2024'!Z$16</f>
        <v>21.549999999999997</v>
      </c>
      <c r="AD20" s="286">
        <f>'Réserves 2023'!Z16</f>
        <v>0.7212264150943396</v>
      </c>
      <c r="AE20" s="287">
        <f>'Réserves 2023'!Y16</f>
        <v>15.29</v>
      </c>
      <c r="AF20" s="288">
        <f t="shared" si="7"/>
        <v>0.29528301886792441</v>
      </c>
      <c r="AG20" s="289">
        <f t="shared" si="7"/>
        <v>6.259999999999998</v>
      </c>
      <c r="AH20" s="290">
        <f t="shared" si="8"/>
        <v>4.2452830188677293E-3</v>
      </c>
      <c r="AI20" s="291">
        <f t="shared" si="8"/>
        <v>8.9999999999996305E-2</v>
      </c>
    </row>
    <row r="21" spans="1:45">
      <c r="A21" s="272" t="s">
        <v>227</v>
      </c>
      <c r="B21" s="273">
        <f>'Réserves 2024'!AC18</f>
        <v>0.99479166666666674</v>
      </c>
      <c r="C21" s="274">
        <f>'Réserves 2023'!AB18</f>
        <v>0.99787985865724393</v>
      </c>
      <c r="D21" s="273">
        <f>'Réserves 2024'!AA18</f>
        <v>1.0046073717948718</v>
      </c>
      <c r="E21" s="274">
        <f>'Réserves 2023'!Z18</f>
        <v>0.88714790509843522</v>
      </c>
      <c r="F21" s="273">
        <f t="shared" si="4"/>
        <v>1.0136217948717947</v>
      </c>
      <c r="M21" s="308"/>
      <c r="Q21" s="272" t="s">
        <v>227</v>
      </c>
      <c r="R21" s="275">
        <f>'Réserves 2024'!AC$18</f>
        <v>0.99479166666666674</v>
      </c>
      <c r="S21" s="276">
        <f>'Réserves 2024'!AB$18</f>
        <v>4.9660000000000002</v>
      </c>
      <c r="T21" s="277">
        <f>'Réserves 2023'!AB18</f>
        <v>0.99787985865724393</v>
      </c>
      <c r="U21" s="278">
        <f>'Réserves 2023'!AA18</f>
        <v>4.9420000000000002</v>
      </c>
      <c r="V21" s="277">
        <f t="shared" si="5"/>
        <v>-3.0881919905771937E-3</v>
      </c>
      <c r="W21" s="276">
        <f t="shared" si="5"/>
        <v>2.4000000000000021E-2</v>
      </c>
      <c r="X21" s="279">
        <f t="shared" si="6"/>
        <v>-9.8157051282050656E-3</v>
      </c>
      <c r="Y21" s="280">
        <f t="shared" si="6"/>
        <v>-4.8999999999999488E-2</v>
      </c>
      <c r="AA21" s="272" t="s">
        <v>227</v>
      </c>
      <c r="AB21" s="275">
        <f>'Réserves 2024'!AA$18</f>
        <v>1.0046073717948718</v>
      </c>
      <c r="AC21" s="276">
        <f>'Réserves 2024'!Z$18</f>
        <v>5.0149999999999997</v>
      </c>
      <c r="AD21" s="277">
        <f>'Réserves 2023'!Z18</f>
        <v>0.88714790509843522</v>
      </c>
      <c r="AE21" s="278">
        <f>'Réserves 2023'!Y18</f>
        <v>4.3936000000000002</v>
      </c>
      <c r="AF21" s="277">
        <f t="shared" si="7"/>
        <v>0.11745946669643659</v>
      </c>
      <c r="AG21" s="276">
        <f t="shared" si="7"/>
        <v>0.62139999999999951</v>
      </c>
      <c r="AH21" s="279">
        <f t="shared" si="8"/>
        <v>-9.0144230769229061E-3</v>
      </c>
      <c r="AI21" s="280">
        <f t="shared" si="8"/>
        <v>-4.4999999999999929E-2</v>
      </c>
    </row>
    <row r="22" spans="1:45">
      <c r="A22" s="281" t="s">
        <v>228</v>
      </c>
      <c r="B22" s="282">
        <f>'Réserves 2024'!AC31</f>
        <v>0.61271789657176079</v>
      </c>
      <c r="C22" s="283">
        <f>'Réserves 2023'!AB31</f>
        <v>0.45838959907030796</v>
      </c>
      <c r="D22" s="282">
        <f>'Réserves 2024'!AA31</f>
        <v>0.58715862870424185</v>
      </c>
      <c r="E22" s="283">
        <f>'Réserves 2023'!Z31</f>
        <v>0.39599447269029636</v>
      </c>
      <c r="F22" s="282">
        <f t="shared" si="4"/>
        <v>0.48490703079604891</v>
      </c>
      <c r="M22" s="308"/>
      <c r="Q22" s="281" t="s">
        <v>228</v>
      </c>
      <c r="R22" s="284">
        <f>'Réserves 2024'!AC$31</f>
        <v>0.61271789657176079</v>
      </c>
      <c r="S22" s="285">
        <f>'Réserves 2024'!AB$31</f>
        <v>84.359000000000009</v>
      </c>
      <c r="T22" s="286">
        <f>'Réserves 2023'!AB31</f>
        <v>0.45838959907030796</v>
      </c>
      <c r="U22" s="287">
        <f>'Réserves 2023'!AA31</f>
        <v>63.111079999999994</v>
      </c>
      <c r="V22" s="288">
        <f t="shared" si="5"/>
        <v>0.15432829750145283</v>
      </c>
      <c r="W22" s="289">
        <f t="shared" si="5"/>
        <v>21.247920000000015</v>
      </c>
      <c r="X22" s="290">
        <f t="shared" si="6"/>
        <v>2.5559267867518942E-2</v>
      </c>
      <c r="Y22" s="291">
        <f t="shared" si="6"/>
        <v>3.5190000000000055</v>
      </c>
      <c r="AA22" s="281" t="s">
        <v>228</v>
      </c>
      <c r="AB22" s="284">
        <f>'Réserves 2024'!AA$31</f>
        <v>0.58715862870424185</v>
      </c>
      <c r="AC22" s="285">
        <f>'Réserves 2024'!Z$31</f>
        <v>80.84</v>
      </c>
      <c r="AD22" s="286">
        <f>'Réserves 2023'!Z31</f>
        <v>0.39599447269029636</v>
      </c>
      <c r="AE22" s="287">
        <f>'Réserves 2023'!Y31</f>
        <v>54.520518999999993</v>
      </c>
      <c r="AF22" s="288">
        <f t="shared" si="7"/>
        <v>0.19116415601394549</v>
      </c>
      <c r="AG22" s="289">
        <f t="shared" si="7"/>
        <v>26.31948100000001</v>
      </c>
      <c r="AH22" s="290">
        <f t="shared" si="8"/>
        <v>0.10225159790819294</v>
      </c>
      <c r="AI22" s="291">
        <f t="shared" si="8"/>
        <v>14.078000000000003</v>
      </c>
    </row>
    <row r="23" spans="1:45">
      <c r="A23" s="272" t="s">
        <v>229</v>
      </c>
      <c r="B23" s="273">
        <f>'Réserves 2024'!AC45</f>
        <v>1</v>
      </c>
      <c r="C23" s="274">
        <f>'Réserves 2023'!AB45</f>
        <v>1</v>
      </c>
      <c r="D23" s="273">
        <f>'Réserves 2024'!AA45</f>
        <v>1</v>
      </c>
      <c r="E23" s="274">
        <f>'Réserves 2023'!Z45</f>
        <v>1</v>
      </c>
      <c r="F23" s="273">
        <f t="shared" si="4"/>
        <v>1</v>
      </c>
      <c r="M23" s="308"/>
      <c r="Q23" s="272" t="s">
        <v>229</v>
      </c>
      <c r="R23" s="275">
        <f>'Réserves 2024'!AC$45</f>
        <v>1</v>
      </c>
      <c r="S23" s="276">
        <f>'Réserves 2024'!AB$45</f>
        <v>8.1999999999999993</v>
      </c>
      <c r="T23" s="277">
        <f>'Réserves 2023'!AB45</f>
        <v>1</v>
      </c>
      <c r="U23" s="292">
        <f>'Réserves 2023'!AA45</f>
        <v>8.1999999999999993</v>
      </c>
      <c r="V23" s="277">
        <f t="shared" si="5"/>
        <v>0</v>
      </c>
      <c r="W23" s="276">
        <f t="shared" si="5"/>
        <v>0</v>
      </c>
      <c r="X23" s="279">
        <f t="shared" si="6"/>
        <v>0</v>
      </c>
      <c r="Y23" s="280">
        <f t="shared" si="6"/>
        <v>0</v>
      </c>
      <c r="AA23" s="272" t="s">
        <v>229</v>
      </c>
      <c r="AB23" s="275">
        <f>'Réserves 2024'!AA$45</f>
        <v>1</v>
      </c>
      <c r="AC23" s="276">
        <f>'Réserves 2024'!Z$45</f>
        <v>8.1999999999999993</v>
      </c>
      <c r="AD23" s="277">
        <f>'Réserves 2023'!Z45</f>
        <v>1</v>
      </c>
      <c r="AE23" s="292">
        <f>'Réserves 2023'!Y45</f>
        <v>8.1999999999999993</v>
      </c>
      <c r="AF23" s="277">
        <f t="shared" si="7"/>
        <v>0</v>
      </c>
      <c r="AG23" s="276">
        <f t="shared" si="7"/>
        <v>0</v>
      </c>
      <c r="AH23" s="279">
        <f t="shared" si="8"/>
        <v>0</v>
      </c>
      <c r="AI23" s="280">
        <f t="shared" si="8"/>
        <v>0</v>
      </c>
    </row>
    <row r="24" spans="1:45" ht="12.75" customHeight="1">
      <c r="A24" s="281" t="s">
        <v>230</v>
      </c>
      <c r="B24" s="282">
        <f>'Réserves 2024'!AC43</f>
        <v>0.9800619016771035</v>
      </c>
      <c r="C24" s="283">
        <f>'Réserves 2023'!AB43</f>
        <v>0.79274454761390623</v>
      </c>
      <c r="D24" s="282">
        <f>'Réserves 2024'!AA43</f>
        <v>0.9468365363852298</v>
      </c>
      <c r="E24" s="283">
        <f>'Réserves 2023'!Z43</f>
        <v>0.66053408191175411</v>
      </c>
      <c r="F24" s="282">
        <f t="shared" si="4"/>
        <v>0.92155761894479238</v>
      </c>
      <c r="J24" s="420" t="s">
        <v>238</v>
      </c>
      <c r="K24" s="420"/>
      <c r="L24" s="420"/>
      <c r="M24" s="308"/>
      <c r="Q24" s="281" t="s">
        <v>230</v>
      </c>
      <c r="R24" s="284">
        <f>'Réserves 2024'!AC$43</f>
        <v>0.9800619016771035</v>
      </c>
      <c r="S24" s="285">
        <f>'Réserves 2024'!AB$43</f>
        <v>68.08</v>
      </c>
      <c r="T24" s="286">
        <f>'Réserves 2023'!AB43</f>
        <v>0.79274454761390623</v>
      </c>
      <c r="U24" s="287">
        <f>'Réserves 2023'!AA43</f>
        <v>55.067999999999998</v>
      </c>
      <c r="V24" s="288">
        <f t="shared" si="5"/>
        <v>0.18731735406319727</v>
      </c>
      <c r="W24" s="289">
        <f t="shared" si="5"/>
        <v>13.012</v>
      </c>
      <c r="X24" s="290">
        <f t="shared" si="6"/>
        <v>3.3225365291873699E-2</v>
      </c>
      <c r="Y24" s="291">
        <f t="shared" si="6"/>
        <v>2.3080000000000069</v>
      </c>
      <c r="AA24" s="281" t="s">
        <v>230</v>
      </c>
      <c r="AB24" s="284">
        <f>'Réserves 2024'!AA$43</f>
        <v>0.9468365363852298</v>
      </c>
      <c r="AC24" s="285">
        <f>'Réserves 2024'!Z$43</f>
        <v>65.771999999999991</v>
      </c>
      <c r="AD24" s="286">
        <f>'Réserves 2023'!Z43</f>
        <v>0.66053408191175411</v>
      </c>
      <c r="AE24" s="287">
        <f>'Réserves 2023'!Y43</f>
        <v>45.884</v>
      </c>
      <c r="AF24" s="288">
        <f t="shared" si="7"/>
        <v>0.28630245447347569</v>
      </c>
      <c r="AG24" s="289">
        <f t="shared" si="7"/>
        <v>19.887999999999991</v>
      </c>
      <c r="AH24" s="290">
        <f t="shared" si="8"/>
        <v>2.5278917440437421E-2</v>
      </c>
      <c r="AI24" s="291">
        <f t="shared" si="8"/>
        <v>1.755999999999986</v>
      </c>
    </row>
    <row r="25" spans="1:45">
      <c r="A25" s="272" t="s">
        <v>231</v>
      </c>
      <c r="B25" s="273">
        <f>'Réserves 2024'!AC58</f>
        <v>0.96870300631081063</v>
      </c>
      <c r="C25" s="274">
        <f>'Réserves 2023'!AB58</f>
        <v>0.64518319935382118</v>
      </c>
      <c r="D25" s="273">
        <f>'Réserves 2024'!AA58</f>
        <v>0.96723776718121401</v>
      </c>
      <c r="E25" s="274">
        <f>'Réserves 2023'!Z58</f>
        <v>0.59073532315345445</v>
      </c>
      <c r="F25" s="273">
        <f t="shared" si="4"/>
        <v>0.93789131524491332</v>
      </c>
      <c r="J25" s="420"/>
      <c r="K25" s="420"/>
      <c r="L25" s="420"/>
      <c r="M25" s="308"/>
      <c r="Q25" s="272" t="s">
        <v>231</v>
      </c>
      <c r="R25" s="275">
        <f>'Réserves 2024'!AC$58</f>
        <v>0.96870300631081063</v>
      </c>
      <c r="S25" s="276">
        <f>'Réserves 2024'!AB$58</f>
        <v>75.368000000000023</v>
      </c>
      <c r="T25" s="277">
        <f>'Réserves 2023'!AB58</f>
        <v>0.64518319935382118</v>
      </c>
      <c r="U25" s="278">
        <f>'Réserves 2023'!AA58</f>
        <v>50.322353999999997</v>
      </c>
      <c r="V25" s="277">
        <f t="shared" si="5"/>
        <v>0.32351980695698945</v>
      </c>
      <c r="W25" s="276">
        <f t="shared" si="5"/>
        <v>25.045646000000026</v>
      </c>
      <c r="X25" s="279">
        <f t="shared" si="6"/>
        <v>1.4652391295966183E-3</v>
      </c>
      <c r="Y25" s="280">
        <f t="shared" si="6"/>
        <v>0.11400000000000432</v>
      </c>
      <c r="AA25" s="272" t="s">
        <v>231</v>
      </c>
      <c r="AB25" s="275">
        <f>'Réserves 2024'!AA$58</f>
        <v>0.96723776718121401</v>
      </c>
      <c r="AC25" s="276">
        <f>'Réserves 2024'!Z$58</f>
        <v>75.254000000000019</v>
      </c>
      <c r="AD25" s="277">
        <f>'Réserves 2023'!Z58</f>
        <v>0.59073532315345445</v>
      </c>
      <c r="AE25" s="278">
        <f>'Réserves 2023'!Y58</f>
        <v>46.075582999999995</v>
      </c>
      <c r="AF25" s="277">
        <f t="shared" si="7"/>
        <v>0.37650244402775956</v>
      </c>
      <c r="AG25" s="276">
        <f t="shared" si="7"/>
        <v>29.178417000000024</v>
      </c>
      <c r="AH25" s="279">
        <f t="shared" si="8"/>
        <v>2.9346451936300699E-2</v>
      </c>
      <c r="AI25" s="280">
        <f t="shared" si="8"/>
        <v>2.2832420000000013</v>
      </c>
    </row>
    <row r="26" spans="1:45">
      <c r="A26" s="293" t="s">
        <v>232</v>
      </c>
      <c r="B26" s="294">
        <f>'Réserves 2024'!AC60</f>
        <v>0.84340477994529139</v>
      </c>
      <c r="C26" s="295">
        <f>'Réserves 2023'!AB60</f>
        <v>0.6373045589162224</v>
      </c>
      <c r="D26" s="294">
        <f>'Réserves 2024'!AA60</f>
        <v>0.82987915291458503</v>
      </c>
      <c r="E26" s="295">
        <f>'Réserves 2023'!Z60</f>
        <v>0.55803224990660849</v>
      </c>
      <c r="F26" s="294">
        <f t="shared" si="4"/>
        <v>0.77697807286783882</v>
      </c>
      <c r="J26" s="420"/>
      <c r="K26" s="420"/>
      <c r="L26" s="420"/>
      <c r="M26" s="307"/>
      <c r="Q26" s="293" t="s">
        <v>232</v>
      </c>
      <c r="R26" s="296">
        <f>'Réserves 2024'!AC$60</f>
        <v>0.84340477994529139</v>
      </c>
      <c r="S26" s="297">
        <f>'Réserves 2024'!AB$60</f>
        <v>328.36700000000008</v>
      </c>
      <c r="T26" s="298">
        <f>'Réserves 2023'!AB60</f>
        <v>0.6373045589162224</v>
      </c>
      <c r="U26" s="299">
        <f>'Réserves 2023'!AA60</f>
        <v>248.223434</v>
      </c>
      <c r="V26" s="300">
        <f t="shared" si="5"/>
        <v>0.206100221029069</v>
      </c>
      <c r="W26" s="301">
        <f t="shared" si="5"/>
        <v>80.143566000000078</v>
      </c>
      <c r="X26" s="302">
        <f t="shared" si="6"/>
        <v>1.3525627030706366E-2</v>
      </c>
      <c r="Y26" s="303">
        <f t="shared" si="6"/>
        <v>5.2660000000000764</v>
      </c>
      <c r="AA26" s="293" t="s">
        <v>232</v>
      </c>
      <c r="AB26" s="296">
        <f>'Réserves 2024'!AA$60</f>
        <v>0.82987915291458503</v>
      </c>
      <c r="AC26" s="297">
        <f>'Réserves 2024'!Z$60</f>
        <v>323.101</v>
      </c>
      <c r="AD26" s="298">
        <f>'Réserves 2023'!Z60</f>
        <v>0.55803224990660849</v>
      </c>
      <c r="AE26" s="299">
        <f>'Réserves 2023'!Y60</f>
        <v>217.34770199999997</v>
      </c>
      <c r="AF26" s="300">
        <f t="shared" si="7"/>
        <v>0.27184690300797654</v>
      </c>
      <c r="AG26" s="301">
        <f t="shared" si="7"/>
        <v>105.75329800000003</v>
      </c>
      <c r="AH26" s="302">
        <f t="shared" si="8"/>
        <v>5.2901080046746207E-2</v>
      </c>
      <c r="AI26" s="303">
        <f t="shared" si="8"/>
        <v>20.596241999999961</v>
      </c>
    </row>
    <row r="27" spans="1:45">
      <c r="J27" s="420"/>
      <c r="K27" s="420"/>
      <c r="L27" s="420"/>
      <c r="M27" s="309"/>
      <c r="Q27" s="310"/>
      <c r="R27" s="9"/>
      <c r="S27" s="9"/>
    </row>
    <row r="28" spans="1:45">
      <c r="A28" s="293" t="s">
        <v>233</v>
      </c>
      <c r="B28" s="304"/>
      <c r="C28" s="305"/>
      <c r="D28" s="305"/>
      <c r="E28" s="305"/>
      <c r="F28" s="305"/>
      <c r="J28" s="420"/>
      <c r="K28" s="420"/>
      <c r="L28" s="420"/>
      <c r="M28" s="9"/>
    </row>
    <row r="29" spans="1:45">
      <c r="B29" s="262"/>
      <c r="C29" s="309"/>
      <c r="D29" s="9"/>
      <c r="F29" s="262"/>
      <c r="M29" s="262"/>
    </row>
    <row r="30" spans="1:45">
      <c r="B30" s="262"/>
      <c r="C30" s="9"/>
      <c r="D30" s="9"/>
      <c r="F30" s="262"/>
      <c r="M30" s="262"/>
      <c r="O30" s="264"/>
    </row>
    <row r="31" spans="1:45">
      <c r="A31" s="73" t="s">
        <v>209</v>
      </c>
      <c r="C31" s="73"/>
      <c r="D31" s="73"/>
      <c r="E31" s="73"/>
    </row>
    <row r="32" spans="1:45">
      <c r="R32" s="419" t="s">
        <v>375</v>
      </c>
      <c r="S32" s="419"/>
      <c r="T32" s="416" t="s">
        <v>239</v>
      </c>
      <c r="U32" s="416"/>
      <c r="V32" s="417" t="s">
        <v>368</v>
      </c>
      <c r="W32" s="417"/>
      <c r="X32" s="418" t="s">
        <v>370</v>
      </c>
      <c r="Y32" s="418"/>
      <c r="AB32" s="419" t="s">
        <v>376</v>
      </c>
      <c r="AC32" s="419"/>
      <c r="AD32" s="416" t="s">
        <v>367</v>
      </c>
      <c r="AE32" s="416"/>
      <c r="AF32" s="417" t="s">
        <v>369</v>
      </c>
      <c r="AG32" s="417"/>
      <c r="AH32" s="418" t="s">
        <v>371</v>
      </c>
      <c r="AI32" s="418"/>
      <c r="AL32" s="419" t="s">
        <v>377</v>
      </c>
      <c r="AM32" s="419"/>
      <c r="AN32" s="416" t="s">
        <v>372</v>
      </c>
      <c r="AO32" s="416"/>
      <c r="AP32" s="417" t="s">
        <v>373</v>
      </c>
      <c r="AQ32" s="417"/>
      <c r="AR32" s="418" t="s">
        <v>374</v>
      </c>
      <c r="AS32" s="418"/>
    </row>
    <row r="33" spans="1:45" ht="39">
      <c r="A33" s="265" t="s">
        <v>218</v>
      </c>
      <c r="B33" s="266" t="s">
        <v>359</v>
      </c>
      <c r="C33" s="265" t="s">
        <v>240</v>
      </c>
      <c r="D33" s="266" t="s">
        <v>350</v>
      </c>
      <c r="F33" s="262"/>
      <c r="J33" s="311" t="s">
        <v>241</v>
      </c>
      <c r="K33" s="312" t="s">
        <v>242</v>
      </c>
      <c r="L33" s="312" t="s">
        <v>243</v>
      </c>
      <c r="M33" s="262"/>
      <c r="Q33" s="265" t="s">
        <v>218</v>
      </c>
      <c r="R33" s="268" t="s">
        <v>221</v>
      </c>
      <c r="S33" s="268" t="s">
        <v>222</v>
      </c>
      <c r="T33" s="269" t="s">
        <v>221</v>
      </c>
      <c r="U33" s="269" t="s">
        <v>222</v>
      </c>
      <c r="V33" s="270" t="s">
        <v>223</v>
      </c>
      <c r="W33" s="270" t="s">
        <v>224</v>
      </c>
      <c r="X33" s="271" t="s">
        <v>223</v>
      </c>
      <c r="Y33" s="271" t="s">
        <v>224</v>
      </c>
      <c r="AA33" s="265" t="s">
        <v>218</v>
      </c>
      <c r="AB33" s="268" t="s">
        <v>221</v>
      </c>
      <c r="AC33" s="268" t="s">
        <v>222</v>
      </c>
      <c r="AD33" s="269" t="s">
        <v>221</v>
      </c>
      <c r="AE33" s="269" t="s">
        <v>222</v>
      </c>
      <c r="AF33" s="270" t="s">
        <v>223</v>
      </c>
      <c r="AG33" s="270" t="s">
        <v>224</v>
      </c>
      <c r="AH33" s="271" t="s">
        <v>223</v>
      </c>
      <c r="AI33" s="271" t="s">
        <v>224</v>
      </c>
      <c r="AK33" s="265" t="s">
        <v>218</v>
      </c>
      <c r="AL33" s="268" t="s">
        <v>221</v>
      </c>
      <c r="AM33" s="268" t="s">
        <v>222</v>
      </c>
      <c r="AN33" s="269" t="s">
        <v>221</v>
      </c>
      <c r="AO33" s="269" t="s">
        <v>222</v>
      </c>
      <c r="AP33" s="270" t="s">
        <v>223</v>
      </c>
      <c r="AQ33" s="270" t="s">
        <v>224</v>
      </c>
      <c r="AR33" s="271" t="s">
        <v>223</v>
      </c>
      <c r="AS33" s="271" t="s">
        <v>224</v>
      </c>
    </row>
    <row r="34" spans="1:45">
      <c r="A34" s="272" t="s">
        <v>225</v>
      </c>
      <c r="B34" s="273">
        <f>'Réserves 2024'!AE$14</f>
        <v>0.96334738195585401</v>
      </c>
      <c r="C34" s="274">
        <f>'Réserves 2023'!AD14</f>
        <v>0.77781270090720755</v>
      </c>
      <c r="D34" s="273">
        <f t="shared" ref="D34:D41" si="9">B19</f>
        <v>0.95355382527323373</v>
      </c>
      <c r="F34" s="313"/>
      <c r="J34" s="272" t="s">
        <v>225</v>
      </c>
      <c r="K34" s="273">
        <f>'Réserves 2024'!AG$14</f>
        <v>0.96310165011786553</v>
      </c>
      <c r="L34" s="273">
        <f>'Réserves 2024'!AI$14</f>
        <v>0.9711807986284734</v>
      </c>
      <c r="M34" s="313"/>
      <c r="Q34" s="272" t="s">
        <v>225</v>
      </c>
      <c r="R34" s="275">
        <f>'Réserves 2024'!AE$14</f>
        <v>0.96334738195585401</v>
      </c>
      <c r="S34" s="276">
        <f>'Réserves 2024'!AD$14</f>
        <v>67.429500000000004</v>
      </c>
      <c r="T34" s="277">
        <f>'Réserves 2023'!AD14</f>
        <v>0.77781270090720755</v>
      </c>
      <c r="U34" s="278">
        <f>'Réserves 2023'!AC14</f>
        <v>54.442999999999998</v>
      </c>
      <c r="V34" s="277">
        <f t="shared" ref="V34:W41" si="10">R34-T34</f>
        <v>0.18553468104864645</v>
      </c>
      <c r="W34" s="276">
        <f t="shared" si="10"/>
        <v>12.986500000000007</v>
      </c>
      <c r="X34" s="279">
        <f t="shared" ref="X34:Y41" si="11">R34-R19</f>
        <v>9.7935566826202747E-3</v>
      </c>
      <c r="Y34" s="280">
        <f t="shared" si="11"/>
        <v>0.68550000000000466</v>
      </c>
      <c r="AA34" s="272" t="s">
        <v>225</v>
      </c>
      <c r="AB34" s="275">
        <f>'Réserves 2024'!AG$14</f>
        <v>0.96310165011786553</v>
      </c>
      <c r="AC34" s="276">
        <f>'Réserves 2024'!AF$14</f>
        <v>67.412300000000002</v>
      </c>
      <c r="AD34" s="277">
        <f>'Réserves 2023'!AF14</f>
        <v>0.80235731123651688</v>
      </c>
      <c r="AE34" s="278">
        <f>'Réserves 2023'!AE14</f>
        <v>56.161000000000001</v>
      </c>
      <c r="AF34" s="277">
        <f t="shared" ref="AF34:AF41" si="12">AB34-AD34</f>
        <v>0.16074433888134865</v>
      </c>
      <c r="AG34" s="276">
        <f t="shared" ref="AG34:AG41" si="13">AC34-AE34</f>
        <v>11.251300000000001</v>
      </c>
      <c r="AH34" s="279">
        <f>AB34-R34</f>
        <v>-2.4573183798848319E-4</v>
      </c>
      <c r="AI34" s="280">
        <f>AC34-S34</f>
        <v>-1.7200000000002547E-2</v>
      </c>
      <c r="AK34" s="272" t="s">
        <v>225</v>
      </c>
      <c r="AL34" s="275">
        <f>'Réserves 2024'!AI$14</f>
        <v>0.9711807986284734</v>
      </c>
      <c r="AM34" s="276">
        <f>'Réserves 2024'!AH$14</f>
        <v>67.977800000000002</v>
      </c>
      <c r="AN34" s="277">
        <f>'Réserves 2023'!AH14</f>
        <v>0.8333689549253519</v>
      </c>
      <c r="AO34" s="278">
        <f>'Réserves 2023'!AG14</f>
        <v>58.331660000000014</v>
      </c>
      <c r="AP34" s="277">
        <f t="shared" ref="AP34:AP41" si="14">AL34-AN34</f>
        <v>0.13781184370312149</v>
      </c>
      <c r="AQ34" s="276">
        <f t="shared" ref="AQ34:AQ41" si="15">AM34-AO34</f>
        <v>9.6461399999999884</v>
      </c>
      <c r="AR34" s="279">
        <f>AL34-AB34</f>
        <v>8.0791485106078698E-3</v>
      </c>
      <c r="AS34" s="280">
        <f>AM34-AC34</f>
        <v>0.56550000000000011</v>
      </c>
    </row>
    <row r="35" spans="1:45">
      <c r="A35" s="281" t="s">
        <v>226</v>
      </c>
      <c r="B35" s="282">
        <f>'Réserves 2024'!AE$16</f>
        <v>1.0070754716981134</v>
      </c>
      <c r="C35" s="283">
        <f>'Réserves 2023'!AD16</f>
        <v>0.94245283018867931</v>
      </c>
      <c r="D35" s="282">
        <f t="shared" si="9"/>
        <v>0.97405660377358483</v>
      </c>
      <c r="F35" s="313"/>
      <c r="J35" s="314" t="s">
        <v>226</v>
      </c>
      <c r="K35" s="315">
        <f>'Réserves 2024'!AG$16</f>
        <v>1.0023584905660379</v>
      </c>
      <c r="L35" s="315">
        <f>'Réserves 2024'!AI$16</f>
        <v>1.0066037735849056</v>
      </c>
      <c r="M35" s="313"/>
      <c r="Q35" s="281" t="s">
        <v>226</v>
      </c>
      <c r="R35" s="284">
        <f>'Réserves 2024'!AE$16</f>
        <v>1.0070754716981134</v>
      </c>
      <c r="S35" s="285">
        <f>'Réserves 2024'!AD$16</f>
        <v>21.35</v>
      </c>
      <c r="T35" s="286">
        <f>'Réserves 2023'!AD16</f>
        <v>0.94245283018867931</v>
      </c>
      <c r="U35" s="287">
        <f>'Réserves 2023'!AC16</f>
        <v>19.98</v>
      </c>
      <c r="V35" s="288">
        <f t="shared" si="10"/>
        <v>6.4622641509434087E-2</v>
      </c>
      <c r="W35" s="289">
        <f t="shared" si="10"/>
        <v>1.370000000000001</v>
      </c>
      <c r="X35" s="290">
        <f t="shared" si="11"/>
        <v>3.3018867924528572E-2</v>
      </c>
      <c r="Y35" s="291">
        <f t="shared" si="11"/>
        <v>0.70000000000000284</v>
      </c>
      <c r="AA35" s="281" t="s">
        <v>226</v>
      </c>
      <c r="AB35" s="284">
        <f>'Réserves 2024'!AG$16</f>
        <v>1.0023584905660379</v>
      </c>
      <c r="AC35" s="285">
        <f>'Réserves 2024'!AN$16</f>
        <v>21.17</v>
      </c>
      <c r="AD35" s="286">
        <f>'Réserves 2023'!AF16</f>
        <v>0.94103773584905659</v>
      </c>
      <c r="AE35" s="287">
        <f>'Réserves 2023'!AE16</f>
        <v>19.95</v>
      </c>
      <c r="AF35" s="288">
        <f t="shared" si="12"/>
        <v>6.1320754716981285E-2</v>
      </c>
      <c r="AG35" s="289">
        <f t="shared" si="13"/>
        <v>1.2200000000000024</v>
      </c>
      <c r="AH35" s="290">
        <f t="shared" ref="AH35:AH41" si="16">AB35-R35</f>
        <v>-4.7169811320755262E-3</v>
      </c>
      <c r="AI35" s="291">
        <f t="shared" ref="AI35:AI41" si="17">AC35-S35</f>
        <v>-0.17999999999999972</v>
      </c>
      <c r="AK35" s="281" t="s">
        <v>226</v>
      </c>
      <c r="AL35" s="284">
        <f>'Réserves 2024'!AI$16</f>
        <v>1.0066037735849056</v>
      </c>
      <c r="AM35" s="285">
        <f>'Réserves 2024'!AH$16</f>
        <v>21.34</v>
      </c>
      <c r="AN35" s="286">
        <f>'Réserves 2023'!AH16</f>
        <v>0.93773584905660379</v>
      </c>
      <c r="AO35" s="287">
        <f>'Réserves 2023'!AG16</f>
        <v>19.88</v>
      </c>
      <c r="AP35" s="288">
        <f t="shared" si="14"/>
        <v>6.8867924528301816E-2</v>
      </c>
      <c r="AQ35" s="289">
        <f t="shared" si="15"/>
        <v>1.4600000000000009</v>
      </c>
      <c r="AR35" s="290">
        <f t="shared" ref="AR35:AR41" si="18">AL35-AB35</f>
        <v>4.2452830188677293E-3</v>
      </c>
      <c r="AS35" s="291">
        <f t="shared" ref="AS35:AS41" si="19">AM35-AC35</f>
        <v>0.16999999999999815</v>
      </c>
    </row>
    <row r="36" spans="1:45">
      <c r="A36" s="272" t="s">
        <v>227</v>
      </c>
      <c r="B36" s="273">
        <f>'Réserves 2024'!AE$18</f>
        <v>0.99981730769230781</v>
      </c>
      <c r="C36" s="274">
        <f>'Réserves 2023'!AD18</f>
        <v>0.99859384149419483</v>
      </c>
      <c r="D36" s="273">
        <f t="shared" si="9"/>
        <v>0.99479166666666674</v>
      </c>
      <c r="F36" s="313"/>
      <c r="J36" s="272" t="s">
        <v>227</v>
      </c>
      <c r="K36" s="273">
        <f>'Réserves 2024'!AG$18</f>
        <v>0.99842307692307697</v>
      </c>
      <c r="L36" s="273">
        <f>'Réserves 2024'!AI$18</f>
        <v>0.99981730769230781</v>
      </c>
      <c r="M36" s="313"/>
      <c r="Q36" s="272" t="s">
        <v>227</v>
      </c>
      <c r="R36" s="275">
        <f>'Réserves 2024'!AE$18</f>
        <v>0.99981730769230781</v>
      </c>
      <c r="S36" s="276">
        <f>'Réserves 2024'!AD$18</f>
        <v>4.9910880000000004</v>
      </c>
      <c r="T36" s="277">
        <f>'Réserves 2023'!AD18</f>
        <v>0.99859384149419483</v>
      </c>
      <c r="U36" s="278">
        <f>'Réserves 2023'!AC18</f>
        <v>4.9455359999999997</v>
      </c>
      <c r="V36" s="277">
        <f t="shared" si="10"/>
        <v>1.2234661981129769E-3</v>
      </c>
      <c r="W36" s="276">
        <f t="shared" si="10"/>
        <v>4.5552000000000703E-2</v>
      </c>
      <c r="X36" s="279">
        <f t="shared" si="11"/>
        <v>5.02564102564107E-3</v>
      </c>
      <c r="Y36" s="280">
        <f t="shared" si="11"/>
        <v>2.5088000000000221E-2</v>
      </c>
      <c r="AA36" s="272" t="s">
        <v>227</v>
      </c>
      <c r="AB36" s="275">
        <f>'Réserves 2024'!AG$18</f>
        <v>0.99842307692307697</v>
      </c>
      <c r="AC36" s="276">
        <f>'Réserves 2024'!AN$18</f>
        <v>4.9523289999999998</v>
      </c>
      <c r="AD36" s="277">
        <f>'Réserves 2023'!AF18</f>
        <v>1.0013124684502777</v>
      </c>
      <c r="AE36" s="278">
        <f>'Réserves 2023'!AE18</f>
        <v>4.9589999999999996</v>
      </c>
      <c r="AF36" s="277">
        <f t="shared" si="12"/>
        <v>-2.8893915272006909E-3</v>
      </c>
      <c r="AG36" s="276">
        <f t="shared" si="13"/>
        <v>-6.6709999999998715E-3</v>
      </c>
      <c r="AH36" s="279">
        <f t="shared" si="16"/>
        <v>-1.394230769230842E-3</v>
      </c>
      <c r="AI36" s="280">
        <f t="shared" si="17"/>
        <v>-3.8759000000000654E-2</v>
      </c>
      <c r="AK36" s="272" t="s">
        <v>227</v>
      </c>
      <c r="AL36" s="275">
        <f>'Réserves 2024'!AI$18</f>
        <v>0.99981730769230781</v>
      </c>
      <c r="AM36" s="276">
        <f>'Réserves 2024'!AH$18</f>
        <v>4.9910880000000004</v>
      </c>
      <c r="AN36" s="277">
        <f>'Réserves 2023'!AH18</f>
        <v>0.99988611812216055</v>
      </c>
      <c r="AO36" s="278">
        <f>'Réserves 2023'!AG18</f>
        <v>4.9519359999999999</v>
      </c>
      <c r="AP36" s="277">
        <f t="shared" si="14"/>
        <v>-6.8810429852739219E-5</v>
      </c>
      <c r="AQ36" s="276">
        <f t="shared" si="15"/>
        <v>3.915200000000052E-2</v>
      </c>
      <c r="AR36" s="279">
        <f t="shared" si="18"/>
        <v>1.394230769230842E-3</v>
      </c>
      <c r="AS36" s="280">
        <f t="shared" si="19"/>
        <v>3.8759000000000654E-2</v>
      </c>
    </row>
    <row r="37" spans="1:45">
      <c r="A37" s="281" t="s">
        <v>228</v>
      </c>
      <c r="B37" s="282">
        <f>'Réserves 2024'!AE$31</f>
        <v>0.70063335270191751</v>
      </c>
      <c r="C37" s="283">
        <f>'Réserves 2023'!AD31</f>
        <v>0.57399767576990124</v>
      </c>
      <c r="D37" s="282">
        <f t="shared" si="9"/>
        <v>0.61271789657176079</v>
      </c>
      <c r="F37" s="313"/>
      <c r="J37" s="314" t="s">
        <v>228</v>
      </c>
      <c r="K37" s="315">
        <f>'Réserves 2024'!AG$31</f>
        <v>0.7104074665891924</v>
      </c>
      <c r="L37" s="315">
        <f>'Réserves 2024'!AI$31</f>
        <v>0.71742729517722259</v>
      </c>
      <c r="M37" s="313"/>
      <c r="Q37" s="281" t="s">
        <v>228</v>
      </c>
      <c r="R37" s="284">
        <f>'Réserves 2024'!AE$31</f>
        <v>0.70063335270191751</v>
      </c>
      <c r="S37" s="285">
        <f>'Réserves 2024'!AD$31</f>
        <v>96.463199999999986</v>
      </c>
      <c r="T37" s="286">
        <f>'Réserves 2023'!AD31</f>
        <v>0.57399767576990124</v>
      </c>
      <c r="U37" s="287">
        <f>'Réserves 2023'!AC31</f>
        <v>79.027999999999992</v>
      </c>
      <c r="V37" s="288">
        <f t="shared" si="10"/>
        <v>0.12663567693201627</v>
      </c>
      <c r="W37" s="289">
        <f t="shared" si="10"/>
        <v>17.435199999999995</v>
      </c>
      <c r="X37" s="290">
        <f t="shared" si="11"/>
        <v>8.7915456130156722E-2</v>
      </c>
      <c r="Y37" s="291">
        <f t="shared" si="11"/>
        <v>12.104199999999977</v>
      </c>
      <c r="AA37" s="281" t="s">
        <v>228</v>
      </c>
      <c r="AB37" s="284">
        <f>'Réserves 2024'!AG$31</f>
        <v>0.7104074665891924</v>
      </c>
      <c r="AC37" s="285">
        <f>'Réserves 2024'!AN$31</f>
        <v>95.009335000000007</v>
      </c>
      <c r="AD37" s="286">
        <f>'Réserves 2023'!AF31</f>
        <v>0.59412043869843134</v>
      </c>
      <c r="AE37" s="287">
        <f>'Réserves 2023'!AE31</f>
        <v>81.798502000000013</v>
      </c>
      <c r="AF37" s="288">
        <f t="shared" si="12"/>
        <v>0.11628702789076106</v>
      </c>
      <c r="AG37" s="289">
        <f t="shared" si="13"/>
        <v>13.210832999999994</v>
      </c>
      <c r="AH37" s="290">
        <f t="shared" si="16"/>
        <v>9.7741138872748934E-3</v>
      </c>
      <c r="AI37" s="291">
        <f t="shared" si="17"/>
        <v>-1.4538649999999791</v>
      </c>
      <c r="AK37" s="281" t="s">
        <v>228</v>
      </c>
      <c r="AL37" s="284">
        <f>'Réserves 2024'!AI$31</f>
        <v>0.71742729517722259</v>
      </c>
      <c r="AM37" s="285">
        <f>'Réserves 2024'!AH$31</f>
        <v>98.775389999999987</v>
      </c>
      <c r="AN37" s="286">
        <f>'Réserves 2023'!AH31</f>
        <v>0.62367068564787931</v>
      </c>
      <c r="AO37" s="287">
        <f>'Réserves 2023'!AG31</f>
        <v>85.866980000000012</v>
      </c>
      <c r="AP37" s="288">
        <f t="shared" si="14"/>
        <v>9.3756609529343282E-2</v>
      </c>
      <c r="AQ37" s="289">
        <f t="shared" si="15"/>
        <v>12.908409999999975</v>
      </c>
      <c r="AR37" s="290">
        <f t="shared" si="18"/>
        <v>7.0198285880301858E-3</v>
      </c>
      <c r="AS37" s="291">
        <f t="shared" si="19"/>
        <v>3.7660549999999802</v>
      </c>
    </row>
    <row r="38" spans="1:45">
      <c r="A38" s="272" t="s">
        <v>229</v>
      </c>
      <c r="B38" s="273">
        <f>'Réserves 2024'!AE$45</f>
        <v>1</v>
      </c>
      <c r="C38" s="274">
        <f>'Réserves 2023'!AD45</f>
        <v>1</v>
      </c>
      <c r="D38" s="273">
        <f t="shared" si="9"/>
        <v>1</v>
      </c>
      <c r="F38" s="313"/>
      <c r="J38" s="272" t="s">
        <v>229</v>
      </c>
      <c r="K38" s="273">
        <f>'Réserves 2024'!AG$45</f>
        <v>1</v>
      </c>
      <c r="L38" s="273">
        <f>'Réserves 2024'!AI$45</f>
        <v>1</v>
      </c>
      <c r="M38" s="313"/>
      <c r="Q38" s="272" t="s">
        <v>229</v>
      </c>
      <c r="R38" s="275">
        <f>'Réserves 2024'!AE$45</f>
        <v>1</v>
      </c>
      <c r="S38" s="276">
        <f>'Réserves 2024'!AD$45</f>
        <v>8.1999999999999993</v>
      </c>
      <c r="T38" s="277">
        <f>'Réserves 2023'!AD45</f>
        <v>1</v>
      </c>
      <c r="U38" s="292">
        <f>'Réserves 2023'!AC45</f>
        <v>8.1999999999999993</v>
      </c>
      <c r="V38" s="277">
        <f t="shared" si="10"/>
        <v>0</v>
      </c>
      <c r="W38" s="276">
        <f t="shared" si="10"/>
        <v>0</v>
      </c>
      <c r="X38" s="279">
        <f t="shared" si="11"/>
        <v>0</v>
      </c>
      <c r="Y38" s="280">
        <f t="shared" si="11"/>
        <v>0</v>
      </c>
      <c r="AA38" s="272" t="s">
        <v>229</v>
      </c>
      <c r="AB38" s="275">
        <f>'Réserves 2024'!AG$45</f>
        <v>1</v>
      </c>
      <c r="AC38" s="276">
        <f>'Réserves 2024'!AN$45</f>
        <v>8.25</v>
      </c>
      <c r="AD38" s="277">
        <f>'Réserves 2023'!AF45</f>
        <v>1</v>
      </c>
      <c r="AE38" s="292">
        <f>'Réserves 2023'!AE45</f>
        <v>8.1999999999999993</v>
      </c>
      <c r="AF38" s="277">
        <f t="shared" si="12"/>
        <v>0</v>
      </c>
      <c r="AG38" s="276">
        <f t="shared" si="13"/>
        <v>5.0000000000000711E-2</v>
      </c>
      <c r="AH38" s="279">
        <f t="shared" si="16"/>
        <v>0</v>
      </c>
      <c r="AI38" s="280">
        <f t="shared" si="17"/>
        <v>5.0000000000000711E-2</v>
      </c>
      <c r="AK38" s="272" t="s">
        <v>229</v>
      </c>
      <c r="AL38" s="275">
        <f>'Réserves 2024'!AI$45</f>
        <v>1</v>
      </c>
      <c r="AM38" s="276">
        <f>'Réserves 2024'!AH$45</f>
        <v>8.1999999999999993</v>
      </c>
      <c r="AN38" s="277">
        <f>'Réserves 2023'!AH45</f>
        <v>1</v>
      </c>
      <c r="AO38" s="292">
        <f>'Réserves 2023'!AG45</f>
        <v>8.1999999999999993</v>
      </c>
      <c r="AP38" s="277">
        <f t="shared" si="14"/>
        <v>0</v>
      </c>
      <c r="AQ38" s="276">
        <f t="shared" si="15"/>
        <v>0</v>
      </c>
      <c r="AR38" s="279">
        <f t="shared" si="18"/>
        <v>0</v>
      </c>
      <c r="AS38" s="280">
        <f t="shared" si="19"/>
        <v>-5.0000000000000711E-2</v>
      </c>
    </row>
    <row r="39" spans="1:45">
      <c r="A39" s="281" t="s">
        <v>230</v>
      </c>
      <c r="B39" s="282">
        <f>'Réserves 2024'!AE$43</f>
        <v>0.98449722882026924</v>
      </c>
      <c r="C39" s="283">
        <f>'Réserves 2023'!AD43</f>
        <v>0.95718707262650249</v>
      </c>
      <c r="D39" s="282">
        <f t="shared" si="9"/>
        <v>0.9800619016771035</v>
      </c>
      <c r="F39" s="313"/>
      <c r="J39" s="314" t="s">
        <v>230</v>
      </c>
      <c r="K39" s="315">
        <f>'Réserves 2024'!AG$43</f>
        <v>0.98407975239329148</v>
      </c>
      <c r="L39" s="315">
        <f>'Réserves 2024'!AI$43</f>
        <v>0.98420211617361253</v>
      </c>
      <c r="M39" s="313"/>
      <c r="Q39" s="281" t="s">
        <v>230</v>
      </c>
      <c r="R39" s="284">
        <f>'Réserves 2024'!AE$43</f>
        <v>0.98449722882026924</v>
      </c>
      <c r="S39" s="285">
        <f>'Réserves 2024'!AD$43</f>
        <v>68.388100000000009</v>
      </c>
      <c r="T39" s="286">
        <f>'Réserves 2023'!AD43</f>
        <v>0.95718707262650249</v>
      </c>
      <c r="U39" s="287">
        <f>'Réserves 2023'!AC43</f>
        <v>66.491</v>
      </c>
      <c r="V39" s="288">
        <f t="shared" si="10"/>
        <v>2.7310156193766755E-2</v>
      </c>
      <c r="W39" s="289">
        <f t="shared" si="10"/>
        <v>1.8971000000000089</v>
      </c>
      <c r="X39" s="290">
        <f t="shared" si="11"/>
        <v>4.4353271431657459E-3</v>
      </c>
      <c r="Y39" s="291">
        <f t="shared" si="11"/>
        <v>0.30810000000001025</v>
      </c>
      <c r="AA39" s="281" t="s">
        <v>230</v>
      </c>
      <c r="AB39" s="284">
        <f>'Réserves 2024'!AG$43</f>
        <v>0.98407975239329148</v>
      </c>
      <c r="AC39" s="285">
        <f>'Réserves 2024'!AN$43</f>
        <v>63.369700000000002</v>
      </c>
      <c r="AD39" s="286">
        <f>'Réserves 2023'!AF43</f>
        <v>0.96979773986899875</v>
      </c>
      <c r="AE39" s="287">
        <f>'Réserves 2023'!AE43</f>
        <v>67.367000000000004</v>
      </c>
      <c r="AF39" s="288">
        <f t="shared" si="12"/>
        <v>1.4282012524292731E-2</v>
      </c>
      <c r="AG39" s="289">
        <f t="shared" si="13"/>
        <v>-3.9973000000000027</v>
      </c>
      <c r="AH39" s="290">
        <f t="shared" si="16"/>
        <v>-4.1747642697775866E-4</v>
      </c>
      <c r="AI39" s="291">
        <f t="shared" si="17"/>
        <v>-5.0184000000000069</v>
      </c>
      <c r="AK39" s="281" t="s">
        <v>230</v>
      </c>
      <c r="AL39" s="284">
        <f>'Réserves 2024'!AI$43</f>
        <v>0.98420211617361253</v>
      </c>
      <c r="AM39" s="285">
        <f>'Réserves 2024'!AH$43</f>
        <v>68.367599999999996</v>
      </c>
      <c r="AN39" s="286">
        <f>'Réserves 2023'!AH43</f>
        <v>0.97341107032318441</v>
      </c>
      <c r="AO39" s="287">
        <f>'Réserves 2023'!AG43</f>
        <v>67.618000000000009</v>
      </c>
      <c r="AP39" s="288">
        <f t="shared" si="14"/>
        <v>1.0791045850428116E-2</v>
      </c>
      <c r="AQ39" s="289">
        <f t="shared" si="15"/>
        <v>0.74959999999998672</v>
      </c>
      <c r="AR39" s="290">
        <f t="shared" si="18"/>
        <v>1.2236378032104422E-4</v>
      </c>
      <c r="AS39" s="291">
        <f t="shared" si="19"/>
        <v>4.9978999999999942</v>
      </c>
    </row>
    <row r="40" spans="1:45">
      <c r="A40" s="272" t="s">
        <v>231</v>
      </c>
      <c r="B40" s="273">
        <f>'Réserves 2024'!AE$58</f>
        <v>0.9822869298099044</v>
      </c>
      <c r="C40" s="274">
        <f>'Réserves 2023'!AD58</f>
        <v>0.78584103234739788</v>
      </c>
      <c r="D40" s="273">
        <f t="shared" si="9"/>
        <v>0.96870300631081063</v>
      </c>
      <c r="F40" s="313"/>
      <c r="J40" s="272" t="s">
        <v>231</v>
      </c>
      <c r="K40" s="273">
        <f>'Réserves 2024'!AG$58</f>
        <v>0.98090207318483835</v>
      </c>
      <c r="L40" s="273">
        <f>'Réserves 2024'!AI$58</f>
        <v>0.97762793208488097</v>
      </c>
      <c r="M40" s="313"/>
      <c r="Q40" s="272" t="s">
        <v>231</v>
      </c>
      <c r="R40" s="275">
        <f>'Réserves 2024'!AE$58</f>
        <v>0.9822869298099044</v>
      </c>
      <c r="S40" s="276">
        <f>'Réserves 2024'!AD$58</f>
        <v>76.424870000000013</v>
      </c>
      <c r="T40" s="277">
        <f>'Réserves 2023'!AD58</f>
        <v>0.78584103234739788</v>
      </c>
      <c r="U40" s="278">
        <f>'Réserves 2023'!AC58</f>
        <v>61.293243000000004</v>
      </c>
      <c r="V40" s="277">
        <f t="shared" si="10"/>
        <v>0.19644589746250651</v>
      </c>
      <c r="W40" s="276">
        <f t="shared" si="10"/>
        <v>15.131627000000009</v>
      </c>
      <c r="X40" s="279">
        <f t="shared" si="11"/>
        <v>1.3583923499093764E-2</v>
      </c>
      <c r="Y40" s="280">
        <f t="shared" si="11"/>
        <v>1.0568699999999893</v>
      </c>
      <c r="AA40" s="272" t="s">
        <v>231</v>
      </c>
      <c r="AB40" s="275">
        <f>'Réserves 2024'!AG$58</f>
        <v>0.98090207318483835</v>
      </c>
      <c r="AC40" s="276">
        <f>'Réserves 2024'!AN$58</f>
        <v>76.074722000000008</v>
      </c>
      <c r="AD40" s="277">
        <f>'Réserves 2023'!AF58</f>
        <v>0.81313128710078586</v>
      </c>
      <c r="AE40" s="278">
        <f>'Réserves 2023'!AE58</f>
        <v>63.421801000000002</v>
      </c>
      <c r="AF40" s="277">
        <f t="shared" si="12"/>
        <v>0.16777078608405249</v>
      </c>
      <c r="AG40" s="276">
        <f t="shared" si="13"/>
        <v>12.652921000000006</v>
      </c>
      <c r="AH40" s="279">
        <f t="shared" si="16"/>
        <v>-1.3848566250660443E-3</v>
      </c>
      <c r="AI40" s="280">
        <f t="shared" si="17"/>
        <v>-0.35014800000000434</v>
      </c>
      <c r="AK40" s="272" t="s">
        <v>231</v>
      </c>
      <c r="AL40" s="275">
        <f>'Réserves 2024'!AI$58</f>
        <v>0.97762793208488097</v>
      </c>
      <c r="AM40" s="276">
        <f>'Réserves 2024'!AH$58</f>
        <v>76.062386000000018</v>
      </c>
      <c r="AN40" s="277">
        <f>'Réserves 2023'!AH58</f>
        <v>0.82484354526456138</v>
      </c>
      <c r="AO40" s="278">
        <f>'Réserves 2023'!AG58</f>
        <v>64.335322000000005</v>
      </c>
      <c r="AP40" s="277">
        <f t="shared" si="14"/>
        <v>0.15278438682031958</v>
      </c>
      <c r="AQ40" s="276">
        <f t="shared" si="15"/>
        <v>11.727064000000013</v>
      </c>
      <c r="AR40" s="279">
        <f t="shared" si="18"/>
        <v>-3.2741410999573839E-3</v>
      </c>
      <c r="AS40" s="280">
        <f t="shared" si="19"/>
        <v>-1.2335999999990577E-2</v>
      </c>
    </row>
    <row r="41" spans="1:45">
      <c r="A41" s="293" t="s">
        <v>232</v>
      </c>
      <c r="B41" s="294">
        <f>'Réserves 2024'!AE$60</f>
        <v>0.88162317284600666</v>
      </c>
      <c r="C41" s="295">
        <f>'Réserves 2023'!AD60</f>
        <v>0.75581184858641881</v>
      </c>
      <c r="D41" s="294">
        <f t="shared" si="9"/>
        <v>0.84340477994529139</v>
      </c>
      <c r="F41" s="264"/>
      <c r="J41" s="141" t="s">
        <v>232</v>
      </c>
      <c r="K41" s="316">
        <f>'Réserves 2024'!AG$60</f>
        <v>0.88440944687736789</v>
      </c>
      <c r="L41" s="316">
        <f>'Réserves 2024'!AI$60</f>
        <v>0.88796091797552235</v>
      </c>
      <c r="M41" s="264"/>
      <c r="Q41" s="293" t="s">
        <v>232</v>
      </c>
      <c r="R41" s="296">
        <f>'Réserves 2024'!AE$60</f>
        <v>0.88162317284600666</v>
      </c>
      <c r="S41" s="297">
        <f>'Réserves 2024'!AD$60</f>
        <v>343.24675800000006</v>
      </c>
      <c r="T41" s="298">
        <f>'Réserves 2023'!AD60</f>
        <v>0.75581184858641881</v>
      </c>
      <c r="U41" s="299">
        <f>'Réserves 2023'!AC60</f>
        <v>294.38077899999996</v>
      </c>
      <c r="V41" s="300">
        <f t="shared" si="10"/>
        <v>0.12581132425958785</v>
      </c>
      <c r="W41" s="301">
        <f t="shared" si="10"/>
        <v>48.865979000000095</v>
      </c>
      <c r="X41" s="302">
        <f t="shared" si="11"/>
        <v>3.821839290071527E-2</v>
      </c>
      <c r="Y41" s="303">
        <f t="shared" si="11"/>
        <v>14.879757999999981</v>
      </c>
      <c r="AA41" s="293" t="s">
        <v>232</v>
      </c>
      <c r="AB41" s="296">
        <f>'Réserves 2024'!AG$60</f>
        <v>0.88440944687736789</v>
      </c>
      <c r="AC41" s="297">
        <f>'Réserves 2024'!AN$60</f>
        <v>333.97598599999998</v>
      </c>
      <c r="AD41" s="298">
        <f>'Réserves 2023'!AF60</f>
        <v>0.7750075496258565</v>
      </c>
      <c r="AE41" s="299">
        <f>'Réserves 2023'!AE60</f>
        <v>301.857303</v>
      </c>
      <c r="AF41" s="300">
        <f t="shared" si="12"/>
        <v>0.10940189725151139</v>
      </c>
      <c r="AG41" s="301">
        <f t="shared" si="13"/>
        <v>32.118682999999976</v>
      </c>
      <c r="AH41" s="302">
        <f t="shared" si="16"/>
        <v>2.7862740313612244E-3</v>
      </c>
      <c r="AI41" s="303">
        <f t="shared" si="17"/>
        <v>-9.2707720000000791</v>
      </c>
      <c r="AK41" s="293" t="s">
        <v>232</v>
      </c>
      <c r="AL41" s="296">
        <f>'Réserves 2024'!AI$60</f>
        <v>0.88796091797552235</v>
      </c>
      <c r="AM41" s="297">
        <f>'Réserves 2024'!AH$60</f>
        <v>345.71426400000001</v>
      </c>
      <c r="AN41" s="298">
        <f>'Réserves 2023'!AH60</f>
        <v>0.79381831345902787</v>
      </c>
      <c r="AO41" s="299">
        <f>'Réserves 2023'!AG60</f>
        <v>309.183898</v>
      </c>
      <c r="AP41" s="300">
        <f t="shared" si="14"/>
        <v>9.4142604516494477E-2</v>
      </c>
      <c r="AQ41" s="301">
        <f t="shared" si="15"/>
        <v>36.530366000000015</v>
      </c>
      <c r="AR41" s="302">
        <f t="shared" si="18"/>
        <v>3.5514710981544573E-3</v>
      </c>
      <c r="AS41" s="303">
        <f t="shared" si="19"/>
        <v>11.738278000000037</v>
      </c>
    </row>
    <row r="42" spans="1:45">
      <c r="AE42" s="264"/>
      <c r="AO42" s="264"/>
    </row>
    <row r="43" spans="1:45">
      <c r="A43" s="293" t="s">
        <v>233</v>
      </c>
      <c r="B43" s="317">
        <f>'Réserves 2024'!AE$73</f>
        <v>1</v>
      </c>
      <c r="C43" s="318">
        <f>'Réserves 2023'!AD73</f>
        <v>1</v>
      </c>
      <c r="D43" s="318"/>
      <c r="F43" s="262"/>
      <c r="J43" s="319" t="s">
        <v>233</v>
      </c>
      <c r="K43" s="320">
        <f>'Réserves 2024'!AG$73</f>
        <v>1</v>
      </c>
      <c r="L43" s="320">
        <f>'Réserves 2024'!AI$73</f>
        <v>1</v>
      </c>
      <c r="M43" s="262"/>
      <c r="Q43" s="293" t="s">
        <v>233</v>
      </c>
      <c r="R43" s="317">
        <f>'Réserves 2024'!AE73</f>
        <v>1</v>
      </c>
      <c r="S43" s="297">
        <f>'Réserves 2024'!AD$73</f>
        <v>48</v>
      </c>
      <c r="T43" s="298">
        <f>'Réserves 2023'!AD73</f>
        <v>1</v>
      </c>
      <c r="U43" s="299">
        <f>'Réserves 2023'!AC73</f>
        <v>48</v>
      </c>
      <c r="V43" s="300">
        <f>R43-T43</f>
        <v>0</v>
      </c>
      <c r="W43" s="301">
        <f>S43-U43</f>
        <v>0</v>
      </c>
      <c r="AA43" s="293" t="s">
        <v>233</v>
      </c>
      <c r="AB43" s="317">
        <f>'Réserves 2024'!AG73</f>
        <v>1</v>
      </c>
      <c r="AC43" s="297">
        <f>'Réserves 2024'!AN$73</f>
        <v>109.01990000000001</v>
      </c>
      <c r="AD43" s="298">
        <f>'Réserves 2023'!AF73</f>
        <v>1</v>
      </c>
      <c r="AE43" s="299">
        <f>'Réserves 2023'!AE73</f>
        <v>48</v>
      </c>
      <c r="AF43" s="300">
        <f>AB43-AD43</f>
        <v>0</v>
      </c>
      <c r="AG43" s="301">
        <f>AC43-AE43</f>
        <v>61.019900000000007</v>
      </c>
      <c r="AK43" s="293" t="s">
        <v>233</v>
      </c>
      <c r="AL43" s="317">
        <f>'Réserves 2024'!AI73</f>
        <v>1</v>
      </c>
      <c r="AM43" s="297">
        <f>'Réserves 2024'!AH$73</f>
        <v>48</v>
      </c>
      <c r="AN43" s="298">
        <f>'Réserves 2023'!AH73</f>
        <v>1</v>
      </c>
      <c r="AO43" s="299">
        <f>'Réserves 2023'!AG73</f>
        <v>48</v>
      </c>
      <c r="AP43" s="300">
        <f>AL43-AN43</f>
        <v>0</v>
      </c>
      <c r="AQ43" s="301">
        <f>AM43-AO43</f>
        <v>0</v>
      </c>
    </row>
    <row r="44" spans="1:45">
      <c r="B44" s="262"/>
      <c r="C44" s="9"/>
      <c r="D44" s="9"/>
      <c r="F44" s="262"/>
      <c r="M44" s="262"/>
      <c r="AE44" s="264"/>
    </row>
    <row r="45" spans="1:45">
      <c r="A45" s="73" t="s">
        <v>210</v>
      </c>
      <c r="E45" s="73"/>
      <c r="U45"/>
    </row>
    <row r="46" spans="1:45">
      <c r="R46" s="419" t="s">
        <v>378</v>
      </c>
      <c r="S46" s="419"/>
      <c r="T46" s="416" t="s">
        <v>244</v>
      </c>
      <c r="U46" s="416"/>
      <c r="V46" s="417" t="s">
        <v>379</v>
      </c>
      <c r="W46" s="417"/>
      <c r="X46" s="418" t="s">
        <v>380</v>
      </c>
      <c r="Y46" s="418"/>
      <c r="AB46" s="419" t="s">
        <v>381</v>
      </c>
      <c r="AC46" s="419"/>
      <c r="AD46" s="416" t="s">
        <v>245</v>
      </c>
      <c r="AE46" s="416"/>
      <c r="AF46" s="417" t="s">
        <v>382</v>
      </c>
      <c r="AG46" s="417"/>
      <c r="AH46" s="418" t="s">
        <v>383</v>
      </c>
      <c r="AI46" s="418"/>
      <c r="AL46" s="419" t="s">
        <v>384</v>
      </c>
      <c r="AM46" s="419"/>
      <c r="AN46" s="416" t="s">
        <v>246</v>
      </c>
      <c r="AO46" s="416"/>
      <c r="AP46" s="417" t="s">
        <v>385</v>
      </c>
      <c r="AQ46" s="417"/>
      <c r="AR46" s="418" t="s">
        <v>386</v>
      </c>
      <c r="AS46" s="418"/>
    </row>
    <row r="47" spans="1:45" ht="39">
      <c r="A47" s="265" t="s">
        <v>218</v>
      </c>
      <c r="B47" s="266" t="s">
        <v>360</v>
      </c>
      <c r="C47" s="265" t="s">
        <v>247</v>
      </c>
      <c r="D47" s="266" t="s">
        <v>359</v>
      </c>
      <c r="F47" s="262"/>
      <c r="J47" s="311" t="s">
        <v>241</v>
      </c>
      <c r="K47" s="312" t="s">
        <v>248</v>
      </c>
      <c r="L47" s="312" t="s">
        <v>249</v>
      </c>
      <c r="M47" s="262"/>
      <c r="Q47" s="265" t="s">
        <v>218</v>
      </c>
      <c r="R47" s="268" t="s">
        <v>221</v>
      </c>
      <c r="S47" s="268" t="s">
        <v>222</v>
      </c>
      <c r="T47" s="269" t="s">
        <v>221</v>
      </c>
      <c r="U47" s="269" t="s">
        <v>222</v>
      </c>
      <c r="V47" s="270" t="s">
        <v>223</v>
      </c>
      <c r="W47" s="270" t="s">
        <v>224</v>
      </c>
      <c r="X47" s="271" t="s">
        <v>223</v>
      </c>
      <c r="Y47" s="271" t="s">
        <v>224</v>
      </c>
      <c r="AA47" s="265" t="s">
        <v>218</v>
      </c>
      <c r="AB47" s="268" t="s">
        <v>221</v>
      </c>
      <c r="AC47" s="268" t="s">
        <v>222</v>
      </c>
      <c r="AD47" s="269" t="s">
        <v>221</v>
      </c>
      <c r="AE47" s="269" t="s">
        <v>222</v>
      </c>
      <c r="AF47" s="270" t="s">
        <v>223</v>
      </c>
      <c r="AG47" s="270" t="s">
        <v>224</v>
      </c>
      <c r="AH47" s="271" t="s">
        <v>223</v>
      </c>
      <c r="AI47" s="271" t="s">
        <v>224</v>
      </c>
      <c r="AK47" s="265" t="s">
        <v>218</v>
      </c>
      <c r="AL47" s="268" t="s">
        <v>221</v>
      </c>
      <c r="AM47" s="268" t="s">
        <v>222</v>
      </c>
      <c r="AN47" s="269" t="s">
        <v>221</v>
      </c>
      <c r="AO47" s="269" t="s">
        <v>222</v>
      </c>
      <c r="AP47" s="270" t="s">
        <v>223</v>
      </c>
      <c r="AQ47" s="270" t="s">
        <v>224</v>
      </c>
      <c r="AR47" s="271" t="s">
        <v>223</v>
      </c>
      <c r="AS47" s="271" t="s">
        <v>224</v>
      </c>
    </row>
    <row r="48" spans="1:45">
      <c r="A48" s="272" t="s">
        <v>225</v>
      </c>
      <c r="B48" s="273">
        <f>'Réserves 2024'!AK$14</f>
        <v>0.97876562611615114</v>
      </c>
      <c r="C48" s="274">
        <f>'Réserves 2023'!AJ14</f>
        <v>0.85569644974641035</v>
      </c>
      <c r="D48" s="273">
        <f t="shared" ref="D48:D55" si="20">B34</f>
        <v>0.96334738195585401</v>
      </c>
      <c r="J48" s="272" t="s">
        <v>225</v>
      </c>
      <c r="K48" s="273">
        <f>'Réserves 2024'!AM$14</f>
        <v>0.97660547181941559</v>
      </c>
      <c r="L48" s="273">
        <f>'Réserves 2024'!AO$14</f>
        <v>0.93077934138152707</v>
      </c>
      <c r="Q48" s="272" t="s">
        <v>225</v>
      </c>
      <c r="R48" s="275">
        <f>'Réserves 2024'!AK$14</f>
        <v>0.97876562611615114</v>
      </c>
      <c r="S48" s="276">
        <f>'Réserves 2024'!AJ$14</f>
        <v>68.508700000000005</v>
      </c>
      <c r="T48" s="277">
        <f>'Réserves 2023'!AJ14</f>
        <v>0.85569644974641035</v>
      </c>
      <c r="U48" s="278">
        <f>'Réserves 2023'!AI14</f>
        <v>59.894472999999998</v>
      </c>
      <c r="V48" s="277">
        <f t="shared" ref="V48:W55" si="21">R48-T48</f>
        <v>0.1230691763697408</v>
      </c>
      <c r="W48" s="276">
        <f t="shared" si="21"/>
        <v>8.6142270000000067</v>
      </c>
      <c r="X48" s="279">
        <f t="shared" ref="X48:Y55" si="22">R48-R34</f>
        <v>1.5418244160297134E-2</v>
      </c>
      <c r="Y48" s="280">
        <f t="shared" si="22"/>
        <v>1.0792000000000002</v>
      </c>
      <c r="AA48" s="272" t="s">
        <v>225</v>
      </c>
      <c r="AB48" s="275">
        <f>'Réserves 2024'!AM$14</f>
        <v>0.97660547181941559</v>
      </c>
      <c r="AC48" s="276">
        <f>'Réserves 2024'!AL$14</f>
        <v>68.357500000000002</v>
      </c>
      <c r="AD48" s="277">
        <f>'Réserves 2023'!AL14</f>
        <v>0.85095363954568182</v>
      </c>
      <c r="AE48" s="278">
        <f>'Réserves 2023'!AK14</f>
        <v>59.5625</v>
      </c>
      <c r="AF48" s="277">
        <f t="shared" ref="AF48:AG55" si="23">AB48-AD48</f>
        <v>0.12565183227373378</v>
      </c>
      <c r="AG48" s="276">
        <f t="shared" si="23"/>
        <v>8.7950000000000017</v>
      </c>
      <c r="AH48" s="279">
        <f t="shared" ref="AH48:AI55" si="24">AB48-R48</f>
        <v>-2.1601542967355503E-3</v>
      </c>
      <c r="AI48" s="280">
        <f t="shared" si="24"/>
        <v>-0.15120000000000289</v>
      </c>
      <c r="AK48" s="272" t="s">
        <v>225</v>
      </c>
      <c r="AL48" s="275">
        <f>'Réserves 2024'!AO$14</f>
        <v>0.93077934138152707</v>
      </c>
      <c r="AM48" s="276">
        <f>'Réserves 2024'!AN$14</f>
        <v>65.149899999999988</v>
      </c>
      <c r="AN48" s="277">
        <f>'Réserves 2023'!AN14</f>
        <v>0.80997356954068145</v>
      </c>
      <c r="AO48" s="278">
        <f>'Réserves 2023'!AM14</f>
        <v>56.694099999999999</v>
      </c>
      <c r="AP48" s="277">
        <f t="shared" ref="AP48:AQ55" si="25">AL48-AN48</f>
        <v>0.12080577184084562</v>
      </c>
      <c r="AQ48" s="276">
        <f t="shared" si="25"/>
        <v>8.4557999999999893</v>
      </c>
      <c r="AR48" s="279">
        <f t="shared" ref="AR48:AS55" si="26">AL48-AB48</f>
        <v>-4.5826130437888524E-2</v>
      </c>
      <c r="AS48" s="280">
        <f t="shared" si="26"/>
        <v>-3.2076000000000136</v>
      </c>
    </row>
    <row r="49" spans="1:45">
      <c r="A49" s="281" t="s">
        <v>226</v>
      </c>
      <c r="B49" s="282">
        <f>'Réserves 2024'!AK$16</f>
        <v>0.99905660377358496</v>
      </c>
      <c r="C49" s="283">
        <f>'Réserves 2023'!AJ16</f>
        <v>0.92264150943396228</v>
      </c>
      <c r="D49" s="282">
        <f t="shared" si="20"/>
        <v>1.0070754716981134</v>
      </c>
      <c r="J49" s="314" t="s">
        <v>226</v>
      </c>
      <c r="K49" s="315">
        <f>'Réserves 2024'!AM$16</f>
        <v>0.9985849056603775</v>
      </c>
      <c r="L49" s="315">
        <f>'Réserves 2024'!AO$16</f>
        <v>0.9985849056603775</v>
      </c>
      <c r="Q49" s="281" t="s">
        <v>226</v>
      </c>
      <c r="R49" s="284">
        <f>'Réserves 2024'!AK$16</f>
        <v>0.99905660377358496</v>
      </c>
      <c r="S49" s="285">
        <f>'Réserves 2024'!AJ$16</f>
        <v>21.18</v>
      </c>
      <c r="T49" s="286">
        <f>'Réserves 2023'!AJ16</f>
        <v>0.92264150943396228</v>
      </c>
      <c r="U49" s="287">
        <f>'Réserves 2023'!AI16</f>
        <v>19.559999999999999</v>
      </c>
      <c r="V49" s="288">
        <f t="shared" si="21"/>
        <v>7.641509433962268E-2</v>
      </c>
      <c r="W49" s="289">
        <f t="shared" si="21"/>
        <v>1.620000000000001</v>
      </c>
      <c r="X49" s="290">
        <f t="shared" si="22"/>
        <v>-8.0188679245284389E-3</v>
      </c>
      <c r="Y49" s="291">
        <f t="shared" si="22"/>
        <v>-0.17000000000000171</v>
      </c>
      <c r="AA49" s="281" t="s">
        <v>226</v>
      </c>
      <c r="AB49" s="284">
        <f>'Réserves 2024'!AM$16</f>
        <v>0.9985849056603775</v>
      </c>
      <c r="AC49" s="285">
        <f>'Réserves 2024'!AL$16</f>
        <v>21.17</v>
      </c>
      <c r="AD49" s="286">
        <f>'Réserves 2023'!AL16</f>
        <v>0.87358490566037739</v>
      </c>
      <c r="AE49" s="287">
        <f>'Réserves 2023'!AK16</f>
        <v>18.52</v>
      </c>
      <c r="AF49" s="288">
        <f t="shared" si="23"/>
        <v>0.12500000000000011</v>
      </c>
      <c r="AG49" s="289">
        <f t="shared" si="23"/>
        <v>2.6500000000000021</v>
      </c>
      <c r="AH49" s="290">
        <f t="shared" si="24"/>
        <v>-4.716981132074638E-4</v>
      </c>
      <c r="AI49" s="291">
        <f t="shared" si="24"/>
        <v>-9.9999999999980105E-3</v>
      </c>
      <c r="AK49" s="281" t="s">
        <v>226</v>
      </c>
      <c r="AL49" s="284">
        <f>'Réserves 2024'!AO$16</f>
        <v>0.9985849056603775</v>
      </c>
      <c r="AM49" s="285">
        <f>'Réserves 2024'!AN$16</f>
        <v>21.17</v>
      </c>
      <c r="AN49" s="286">
        <f>'Réserves 2023'!AN16</f>
        <v>0.79905660377358478</v>
      </c>
      <c r="AO49" s="287">
        <f>'Réserves 2023'!AM16</f>
        <v>16.939999999999998</v>
      </c>
      <c r="AP49" s="288">
        <f t="shared" si="25"/>
        <v>0.19952830188679271</v>
      </c>
      <c r="AQ49" s="289">
        <f t="shared" si="25"/>
        <v>4.230000000000004</v>
      </c>
      <c r="AR49" s="290">
        <f t="shared" si="26"/>
        <v>0</v>
      </c>
      <c r="AS49" s="291">
        <f t="shared" si="26"/>
        <v>0</v>
      </c>
    </row>
    <row r="50" spans="1:45">
      <c r="A50" s="272" t="s">
        <v>227</v>
      </c>
      <c r="B50" s="273">
        <f>'Réserves 2024'!AK$18</f>
        <v>0.99644871794871792</v>
      </c>
      <c r="C50" s="274">
        <f>'Réserves 2023'!AJ18</f>
        <v>0.99970843008581534</v>
      </c>
      <c r="D50" s="273">
        <f t="shared" si="20"/>
        <v>0.99981730769230781</v>
      </c>
      <c r="J50" s="272" t="s">
        <v>227</v>
      </c>
      <c r="K50" s="273">
        <f>'Réserves 2024'!AM$18</f>
        <v>0.99205308493589739</v>
      </c>
      <c r="L50" s="273">
        <f>'Réserves 2024'!AO$18</f>
        <v>0.99205308493589739</v>
      </c>
      <c r="Q50" s="272" t="s">
        <v>227</v>
      </c>
      <c r="R50" s="275">
        <f>'Réserves 2024'!AK$18</f>
        <v>0.99644871794871792</v>
      </c>
      <c r="S50" s="276">
        <f>'Réserves 2024'!AJ$18</f>
        <v>4.974272</v>
      </c>
      <c r="T50" s="277">
        <f>'Réserves 2023'!AJ18</f>
        <v>0.99970843008581534</v>
      </c>
      <c r="U50" s="278">
        <f>'Réserves 2023'!AI18</f>
        <v>4.9510560000000003</v>
      </c>
      <c r="V50" s="277">
        <f t="shared" si="21"/>
        <v>-3.2597121370974147E-3</v>
      </c>
      <c r="W50" s="276">
        <f t="shared" si="21"/>
        <v>2.3215999999999681E-2</v>
      </c>
      <c r="X50" s="279">
        <f t="shared" si="22"/>
        <v>-3.3685897435898893E-3</v>
      </c>
      <c r="Y50" s="280">
        <f t="shared" si="22"/>
        <v>-1.6816000000000386E-2</v>
      </c>
      <c r="AA50" s="272" t="s">
        <v>227</v>
      </c>
      <c r="AB50" s="275">
        <f>'Réserves 2024'!AM$18</f>
        <v>0.99205308493589739</v>
      </c>
      <c r="AC50" s="276">
        <f>'Réserves 2024'!AL$18</f>
        <v>4.9523289999999998</v>
      </c>
      <c r="AD50" s="277">
        <f>'Réserves 2023'!AL18</f>
        <v>0.99747925290257455</v>
      </c>
      <c r="AE50" s="278">
        <f>'Réserves 2023'!AK18</f>
        <v>4.940016</v>
      </c>
      <c r="AF50" s="277">
        <f t="shared" si="23"/>
        <v>-5.4261679666771645E-3</v>
      </c>
      <c r="AG50" s="276">
        <f t="shared" si="23"/>
        <v>1.2312999999999796E-2</v>
      </c>
      <c r="AH50" s="279">
        <f t="shared" si="24"/>
        <v>-4.3956330128205323E-3</v>
      </c>
      <c r="AI50" s="280">
        <f t="shared" si="24"/>
        <v>-2.1943000000000268E-2</v>
      </c>
      <c r="AK50" s="272" t="s">
        <v>227</v>
      </c>
      <c r="AL50" s="275">
        <f>'Réserves 2024'!AO$18</f>
        <v>0.99205308493589739</v>
      </c>
      <c r="AM50" s="276">
        <f>'Réserves 2024'!AN$18</f>
        <v>4.9523289999999998</v>
      </c>
      <c r="AN50" s="277">
        <f>'Réserves 2023'!AN18</f>
        <v>0.96338576476527016</v>
      </c>
      <c r="AO50" s="278">
        <f>'Réserves 2023'!AM18</f>
        <v>4.7711680000000003</v>
      </c>
      <c r="AP50" s="277">
        <f t="shared" si="25"/>
        <v>2.8667320170627231E-2</v>
      </c>
      <c r="AQ50" s="276">
        <f t="shared" si="25"/>
        <v>0.18116099999999946</v>
      </c>
      <c r="AR50" s="279">
        <f t="shared" si="26"/>
        <v>0</v>
      </c>
      <c r="AS50" s="280">
        <f t="shared" si="26"/>
        <v>0</v>
      </c>
    </row>
    <row r="51" spans="1:45">
      <c r="A51" s="281" t="s">
        <v>228</v>
      </c>
      <c r="B51" s="282">
        <f>'Réserves 2024'!AK$31</f>
        <v>0.71882988814642668</v>
      </c>
      <c r="C51" s="283">
        <f>'Réserves 2023'!AJ31</f>
        <v>0.63022937245787347</v>
      </c>
      <c r="D51" s="282">
        <f t="shared" si="20"/>
        <v>0.70063335270191751</v>
      </c>
      <c r="J51" s="314" t="s">
        <v>228</v>
      </c>
      <c r="K51" s="315">
        <f>'Réserves 2024'!AM$31</f>
        <v>0.71402890761185367</v>
      </c>
      <c r="L51" s="315">
        <f>'Réserves 2024'!AO$31</f>
        <v>0.69007361272515999</v>
      </c>
      <c r="Q51" s="281" t="s">
        <v>228</v>
      </c>
      <c r="R51" s="284">
        <f>'Réserves 2024'!AK$31</f>
        <v>0.71882988814642668</v>
      </c>
      <c r="S51" s="285">
        <f>'Réserves 2024'!AJ$31</f>
        <v>98.968499000000008</v>
      </c>
      <c r="T51" s="286">
        <f>'Réserves 2023'!AJ31</f>
        <v>0.63022937245787347</v>
      </c>
      <c r="U51" s="287">
        <f>'Réserves 2023'!AI31</f>
        <v>86.769980000000004</v>
      </c>
      <c r="V51" s="288">
        <f t="shared" si="21"/>
        <v>8.8600515688553205E-2</v>
      </c>
      <c r="W51" s="289">
        <f t="shared" si="21"/>
        <v>12.198519000000005</v>
      </c>
      <c r="X51" s="290">
        <f t="shared" si="22"/>
        <v>1.8196535444509165E-2</v>
      </c>
      <c r="Y51" s="291">
        <f t="shared" si="22"/>
        <v>2.5052990000000221</v>
      </c>
      <c r="AA51" s="281" t="s">
        <v>228</v>
      </c>
      <c r="AB51" s="284">
        <f>'Réserves 2024'!AM$31</f>
        <v>0.71402890761185367</v>
      </c>
      <c r="AC51" s="285">
        <f>'Réserves 2024'!AL$31</f>
        <v>98.307500000000005</v>
      </c>
      <c r="AD51" s="286">
        <f>'Réserves 2023'!AL31</f>
        <v>0.62612171702498565</v>
      </c>
      <c r="AE51" s="287">
        <f>'Réserves 2023'!AK31</f>
        <v>86.20443800000001</v>
      </c>
      <c r="AF51" s="288">
        <f t="shared" si="23"/>
        <v>8.7907190586868023E-2</v>
      </c>
      <c r="AG51" s="289">
        <f t="shared" si="23"/>
        <v>12.103061999999994</v>
      </c>
      <c r="AH51" s="290">
        <f t="shared" si="24"/>
        <v>-4.8009805345730072E-3</v>
      </c>
      <c r="AI51" s="291">
        <f t="shared" si="24"/>
        <v>-0.66099900000000389</v>
      </c>
      <c r="AK51" s="281" t="s">
        <v>228</v>
      </c>
      <c r="AL51" s="284">
        <f>'Réserves 2024'!AO$31</f>
        <v>0.69007361272515999</v>
      </c>
      <c r="AM51" s="285">
        <f>'Réserves 2024'!AN$31</f>
        <v>95.009335000000007</v>
      </c>
      <c r="AN51" s="286">
        <f>'Réserves 2023'!AN31</f>
        <v>0.60013422428820462</v>
      </c>
      <c r="AO51" s="287">
        <f>'Réserves 2023'!AM31</f>
        <v>82.626480000000001</v>
      </c>
      <c r="AP51" s="288">
        <f t="shared" si="25"/>
        <v>8.993938843695537E-2</v>
      </c>
      <c r="AQ51" s="289">
        <f t="shared" si="25"/>
        <v>12.382855000000006</v>
      </c>
      <c r="AR51" s="290">
        <f t="shared" si="26"/>
        <v>-2.3955294886693679E-2</v>
      </c>
      <c r="AS51" s="291">
        <f t="shared" si="26"/>
        <v>-3.2981649999999973</v>
      </c>
    </row>
    <row r="52" spans="1:45">
      <c r="A52" s="272" t="s">
        <v>229</v>
      </c>
      <c r="B52" s="273">
        <f>'Réserves 2024'!AK$45</f>
        <v>1</v>
      </c>
      <c r="C52" s="274">
        <f>'Réserves 2023'!AJ45</f>
        <v>1</v>
      </c>
      <c r="D52" s="273">
        <f t="shared" si="20"/>
        <v>1</v>
      </c>
      <c r="J52" s="272" t="s">
        <v>229</v>
      </c>
      <c r="K52" s="273">
        <f>'Réserves 2024'!AM$45</f>
        <v>0.99878048780487805</v>
      </c>
      <c r="L52" s="273">
        <f>'Réserves 2024'!AO$45</f>
        <v>1.0060975609756098</v>
      </c>
      <c r="Q52" s="272" t="s">
        <v>229</v>
      </c>
      <c r="R52" s="275">
        <f>'Réserves 2024'!AK$45</f>
        <v>1</v>
      </c>
      <c r="S52" s="276">
        <f>'Réserves 2024'!AJ$45</f>
        <v>8.1999999999999993</v>
      </c>
      <c r="T52" s="277">
        <f>'Réserves 2023'!AJ45</f>
        <v>1</v>
      </c>
      <c r="U52" s="292">
        <f>'Réserves 2023'!AI45</f>
        <v>8.1999999999999993</v>
      </c>
      <c r="V52" s="277">
        <f t="shared" si="21"/>
        <v>0</v>
      </c>
      <c r="W52" s="276">
        <f t="shared" si="21"/>
        <v>0</v>
      </c>
      <c r="X52" s="279">
        <f t="shared" si="22"/>
        <v>0</v>
      </c>
      <c r="Y52" s="280">
        <f t="shared" si="22"/>
        <v>0</v>
      </c>
      <c r="AA52" s="272" t="s">
        <v>229</v>
      </c>
      <c r="AB52" s="275">
        <f>'Réserves 2024'!AM$45</f>
        <v>0.99878048780487805</v>
      </c>
      <c r="AC52" s="276">
        <f>'Réserves 2024'!AL$45</f>
        <v>8.19</v>
      </c>
      <c r="AD52" s="277">
        <f>'Réserves 2023'!AL45</f>
        <v>0.97560975609756106</v>
      </c>
      <c r="AE52" s="292">
        <f>'Réserves 2023'!AK45</f>
        <v>8</v>
      </c>
      <c r="AF52" s="277">
        <f t="shared" si="23"/>
        <v>2.3170731707316983E-2</v>
      </c>
      <c r="AG52" s="276">
        <f t="shared" si="23"/>
        <v>0.1899999999999995</v>
      </c>
      <c r="AH52" s="279">
        <f t="shared" si="24"/>
        <v>-1.2195121951219523E-3</v>
      </c>
      <c r="AI52" s="280">
        <f t="shared" si="24"/>
        <v>-9.9999999999997868E-3</v>
      </c>
      <c r="AK52" s="272" t="s">
        <v>229</v>
      </c>
      <c r="AL52" s="275">
        <f>'Réserves 2024'!AO$45</f>
        <v>1.0060975609756098</v>
      </c>
      <c r="AM52" s="276">
        <f>'Réserves 2024'!AN$45</f>
        <v>8.25</v>
      </c>
      <c r="AN52" s="277">
        <f>'Réserves 2023'!AN45</f>
        <v>0.97560975609756106</v>
      </c>
      <c r="AO52" s="292">
        <f>'Réserves 2023'!AM45</f>
        <v>8</v>
      </c>
      <c r="AP52" s="277">
        <f t="shared" si="25"/>
        <v>3.0487804878048697E-2</v>
      </c>
      <c r="AQ52" s="276">
        <f t="shared" si="25"/>
        <v>0.25</v>
      </c>
      <c r="AR52" s="279">
        <f t="shared" si="26"/>
        <v>7.3170731707317138E-3</v>
      </c>
      <c r="AS52" s="280">
        <f t="shared" si="26"/>
        <v>6.0000000000000497E-2</v>
      </c>
    </row>
    <row r="53" spans="1:45">
      <c r="A53" s="281" t="s">
        <v>230</v>
      </c>
      <c r="B53" s="282">
        <f>'Réserves 2024'!AK$43</f>
        <v>0.98245778449578924</v>
      </c>
      <c r="C53" s="283">
        <f>'Réserves 2023'!AJ43</f>
        <v>0.9713582379615634</v>
      </c>
      <c r="D53" s="282">
        <f t="shared" si="20"/>
        <v>0.98449722882026924</v>
      </c>
      <c r="J53" s="314" t="s">
        <v>230</v>
      </c>
      <c r="K53" s="315">
        <f>'Réserves 2024'!AM$43</f>
        <v>0.97621248110559278</v>
      </c>
      <c r="L53" s="315">
        <f>'Réserves 2024'!AO$43</f>
        <v>0.91225365291873606</v>
      </c>
      <c r="Q53" s="281" t="s">
        <v>230</v>
      </c>
      <c r="R53" s="284">
        <f>'Réserves 2024'!AK$43</f>
        <v>0.98245778449578924</v>
      </c>
      <c r="S53" s="285">
        <f>'Réserves 2024'!AJ$43</f>
        <v>68.246430000000004</v>
      </c>
      <c r="T53" s="286">
        <f>'Réserves 2023'!AJ43</f>
        <v>0.9713582379615634</v>
      </c>
      <c r="U53" s="287">
        <f>'Réserves 2023'!AI43</f>
        <v>67.475400000000008</v>
      </c>
      <c r="V53" s="288">
        <f t="shared" si="21"/>
        <v>1.1099546534225846E-2</v>
      </c>
      <c r="W53" s="289">
        <f t="shared" si="21"/>
        <v>0.77102999999999611</v>
      </c>
      <c r="X53" s="290">
        <f t="shared" si="22"/>
        <v>-2.0394443244799998E-3</v>
      </c>
      <c r="Y53" s="291">
        <f t="shared" si="22"/>
        <v>-0.14167000000000485</v>
      </c>
      <c r="AA53" s="281" t="s">
        <v>230</v>
      </c>
      <c r="AB53" s="284">
        <f>'Réserves 2024'!AM$43</f>
        <v>0.97621248110559278</v>
      </c>
      <c r="AC53" s="285">
        <f>'Réserves 2024'!AL$43</f>
        <v>67.812600000000003</v>
      </c>
      <c r="AD53" s="286">
        <f>'Réserves 2023'!AL43</f>
        <v>0.96014251781472693</v>
      </c>
      <c r="AE53" s="287">
        <f>'Réserves 2023'!AK43</f>
        <v>66.696300000000008</v>
      </c>
      <c r="AF53" s="288">
        <f t="shared" si="23"/>
        <v>1.6069963290865852E-2</v>
      </c>
      <c r="AG53" s="289">
        <f t="shared" si="23"/>
        <v>1.1162999999999954</v>
      </c>
      <c r="AH53" s="290">
        <f t="shared" si="24"/>
        <v>-6.2453033901964661E-3</v>
      </c>
      <c r="AI53" s="291">
        <f t="shared" si="24"/>
        <v>-0.43383000000000038</v>
      </c>
      <c r="AK53" s="281" t="s">
        <v>230</v>
      </c>
      <c r="AL53" s="284">
        <f>'Réserves 2024'!AO$43</f>
        <v>0.91225365291873606</v>
      </c>
      <c r="AM53" s="285">
        <f>'Réserves 2024'!AN$43</f>
        <v>63.369700000000002</v>
      </c>
      <c r="AN53" s="286">
        <f>'Réserves 2023'!AN43</f>
        <v>0.91490966673864527</v>
      </c>
      <c r="AO53" s="287">
        <f>'Réserves 2023'!AM43</f>
        <v>63.554199999999994</v>
      </c>
      <c r="AP53" s="288">
        <f t="shared" si="25"/>
        <v>-2.6560138199092087E-3</v>
      </c>
      <c r="AQ53" s="289">
        <f t="shared" si="25"/>
        <v>-0.18449999999999278</v>
      </c>
      <c r="AR53" s="290">
        <f t="shared" si="26"/>
        <v>-6.395882818685672E-2</v>
      </c>
      <c r="AS53" s="291">
        <f t="shared" si="26"/>
        <v>-4.4429000000000016</v>
      </c>
    </row>
    <row r="54" spans="1:45">
      <c r="A54" s="272" t="s">
        <v>231</v>
      </c>
      <c r="B54" s="273">
        <f>'Réserves 2024'!AK$58</f>
        <v>0.98497263601660567</v>
      </c>
      <c r="C54" s="274">
        <f>'Réserves 2023'!AJ58</f>
        <v>0.83299610241419531</v>
      </c>
      <c r="D54" s="273">
        <f t="shared" si="20"/>
        <v>0.9822869298099044</v>
      </c>
      <c r="J54" s="272" t="s">
        <v>231</v>
      </c>
      <c r="K54" s="273">
        <f>'Réserves 2024'!AM$58</f>
        <v>0.98602777527858809</v>
      </c>
      <c r="L54" s="273">
        <f>'Réserves 2024'!AO$58</f>
        <v>0.97778648638227295</v>
      </c>
      <c r="Q54" s="272" t="s">
        <v>231</v>
      </c>
      <c r="R54" s="275">
        <f>'Réserves 2024'!AK$58</f>
        <v>0.98497263601660567</v>
      </c>
      <c r="S54" s="276">
        <f>'Réserves 2024'!AJ$58</f>
        <v>76.633825999999999</v>
      </c>
      <c r="T54" s="277">
        <f>'Réserves 2023'!AJ58</f>
        <v>0.83299610241419531</v>
      </c>
      <c r="U54" s="278">
        <f>'Réserves 2023'!AI58</f>
        <v>64.971197000000004</v>
      </c>
      <c r="V54" s="277">
        <f t="shared" si="21"/>
        <v>0.15197653360241037</v>
      </c>
      <c r="W54" s="276">
        <f t="shared" si="21"/>
        <v>11.662628999999995</v>
      </c>
      <c r="X54" s="279">
        <f t="shared" si="22"/>
        <v>2.6857062067012771E-3</v>
      </c>
      <c r="Y54" s="280">
        <f t="shared" si="22"/>
        <v>0.20895599999998637</v>
      </c>
      <c r="AA54" s="272" t="s">
        <v>231</v>
      </c>
      <c r="AB54" s="275">
        <f>'Réserves 2024'!AM$58</f>
        <v>0.98602777527858809</v>
      </c>
      <c r="AC54" s="276">
        <f>'Réserves 2024'!AL$58</f>
        <v>76.715919000000014</v>
      </c>
      <c r="AD54" s="277">
        <f>'Réserves 2023'!AL58</f>
        <v>0.83030675538802767</v>
      </c>
      <c r="AE54" s="278">
        <f>'Réserves 2023'!AK58</f>
        <v>64.761436000000003</v>
      </c>
      <c r="AF54" s="277">
        <f t="shared" si="23"/>
        <v>0.15572101989056042</v>
      </c>
      <c r="AG54" s="276">
        <f t="shared" si="23"/>
        <v>11.95448300000001</v>
      </c>
      <c r="AH54" s="279">
        <f t="shared" si="24"/>
        <v>1.0551392619824185E-3</v>
      </c>
      <c r="AI54" s="280">
        <f t="shared" si="24"/>
        <v>8.2093000000014626E-2</v>
      </c>
      <c r="AK54" s="272" t="s">
        <v>231</v>
      </c>
      <c r="AL54" s="275">
        <f>'Réserves 2024'!AO$58</f>
        <v>0.97778648638227295</v>
      </c>
      <c r="AM54" s="276">
        <f>'Réserves 2024'!AN$58</f>
        <v>76.074722000000008</v>
      </c>
      <c r="AN54" s="277">
        <f>'Réserves 2023'!AN58</f>
        <v>0.79841028501096201</v>
      </c>
      <c r="AO54" s="278">
        <f>'Réserves 2023'!AM58</f>
        <v>62.273607000000013</v>
      </c>
      <c r="AP54" s="277">
        <f t="shared" si="25"/>
        <v>0.17937620137131094</v>
      </c>
      <c r="AQ54" s="276">
        <f t="shared" si="25"/>
        <v>13.801114999999996</v>
      </c>
      <c r="AR54" s="279">
        <f t="shared" si="26"/>
        <v>-8.2412888963151465E-3</v>
      </c>
      <c r="AS54" s="280">
        <f t="shared" si="26"/>
        <v>-0.64119700000000535</v>
      </c>
    </row>
    <row r="55" spans="1:45">
      <c r="A55" s="293" t="s">
        <v>232</v>
      </c>
      <c r="B55" s="294">
        <f>'Réserves 2024'!AK$60</f>
        <v>0.89052288389176404</v>
      </c>
      <c r="C55" s="295">
        <f>'Réserves 2023'!AJ60</f>
        <v>0.80059181569721405</v>
      </c>
      <c r="D55" s="294">
        <f t="shared" si="20"/>
        <v>0.88162317284600666</v>
      </c>
      <c r="J55" s="141" t="s">
        <v>232</v>
      </c>
      <c r="K55" s="316">
        <f>'Réserves 2024'!AM$60</f>
        <v>0.8874256051986078</v>
      </c>
      <c r="L55" s="316">
        <f>'Réserves 2024'!AO$60</f>
        <v>0.85781136039657346</v>
      </c>
      <c r="Q55" s="293" t="s">
        <v>232</v>
      </c>
      <c r="R55" s="296">
        <f>'Réserves 2024'!AK$60</f>
        <v>0.89052288389176404</v>
      </c>
      <c r="S55" s="297">
        <f>'Réserves 2024'!AJ$60</f>
        <v>346.711727</v>
      </c>
      <c r="T55" s="298">
        <f>'Réserves 2023'!AJ60</f>
        <v>0.80059181569721405</v>
      </c>
      <c r="U55" s="299">
        <f>'Réserves 2023'!AI60</f>
        <v>311.82210600000002</v>
      </c>
      <c r="V55" s="300">
        <f t="shared" si="21"/>
        <v>8.993106819454999E-2</v>
      </c>
      <c r="W55" s="301">
        <f t="shared" si="21"/>
        <v>34.889620999999977</v>
      </c>
      <c r="X55" s="302">
        <f t="shared" si="22"/>
        <v>8.8997110457573747E-3</v>
      </c>
      <c r="Y55" s="303">
        <f t="shared" si="22"/>
        <v>3.4649689999999396</v>
      </c>
      <c r="AA55" s="293" t="s">
        <v>232</v>
      </c>
      <c r="AB55" s="296">
        <f>'Réserves 2024'!AM$60</f>
        <v>0.8874256051986078</v>
      </c>
      <c r="AC55" s="297">
        <f>'Réserves 2024'!AL$60</f>
        <v>345.50584800000001</v>
      </c>
      <c r="AD55" s="298">
        <f>'Réserves 2023'!AL60</f>
        <v>0.79253661523609775</v>
      </c>
      <c r="AE55" s="299">
        <f>'Réserves 2023'!AK60</f>
        <v>308.68469000000005</v>
      </c>
      <c r="AF55" s="300">
        <f t="shared" si="23"/>
        <v>9.4888989962510051E-2</v>
      </c>
      <c r="AG55" s="301">
        <f t="shared" si="23"/>
        <v>36.821157999999969</v>
      </c>
      <c r="AH55" s="302">
        <f t="shared" si="24"/>
        <v>-3.0972786931562357E-3</v>
      </c>
      <c r="AI55" s="303">
        <f t="shared" si="24"/>
        <v>-1.2058789999999817</v>
      </c>
      <c r="AK55" s="293" t="s">
        <v>232</v>
      </c>
      <c r="AL55" s="296">
        <f>'Réserves 2024'!AO$60</f>
        <v>0.85781136039657346</v>
      </c>
      <c r="AM55" s="297">
        <f>'Réserves 2024'!AN$60</f>
        <v>333.97598599999998</v>
      </c>
      <c r="AN55" s="298">
        <f>'Réserves 2023'!AN60</f>
        <v>0.75704108839904549</v>
      </c>
      <c r="AO55" s="299">
        <f>'Réserves 2023'!AM60</f>
        <v>294.859555</v>
      </c>
      <c r="AP55" s="300">
        <f t="shared" si="25"/>
        <v>0.10077027199752797</v>
      </c>
      <c r="AQ55" s="301">
        <f t="shared" si="25"/>
        <v>39.116430999999977</v>
      </c>
      <c r="AR55" s="302">
        <f t="shared" si="26"/>
        <v>-2.961424480203434E-2</v>
      </c>
      <c r="AS55" s="303">
        <f t="shared" si="26"/>
        <v>-11.529862000000037</v>
      </c>
    </row>
    <row r="56" spans="1:45">
      <c r="AE56" s="264"/>
      <c r="AO56" s="264"/>
    </row>
    <row r="57" spans="1:45">
      <c r="A57" s="293" t="s">
        <v>233</v>
      </c>
      <c r="B57" s="317">
        <f>'Réserves 2024'!AK$73</f>
        <v>0.99999999999999989</v>
      </c>
      <c r="C57" s="318">
        <f>'Réserves 2023'!AJ73</f>
        <v>0.99999999999999978</v>
      </c>
      <c r="D57" s="318">
        <f>B43</f>
        <v>1</v>
      </c>
      <c r="J57" s="319" t="s">
        <v>233</v>
      </c>
      <c r="K57" s="320">
        <f>'Réserves 2024'!AM$73</f>
        <v>0.99999999999999989</v>
      </c>
      <c r="L57" s="320">
        <f>'Réserves 2024'!AO$73</f>
        <v>0.9917210952424268</v>
      </c>
      <c r="Q57" s="293" t="s">
        <v>233</v>
      </c>
      <c r="R57" s="317">
        <f>'Réserves 2024'!AK73</f>
        <v>0.99999999999999989</v>
      </c>
      <c r="S57" s="297">
        <f>'Réserves 2024'!AJ$73</f>
        <v>107.33</v>
      </c>
      <c r="T57" s="298">
        <f>'Réserves 2023'!AJ73</f>
        <v>0.99999999999999978</v>
      </c>
      <c r="U57" s="299">
        <f>'Réserves 2023'!AI73</f>
        <v>129.6</v>
      </c>
      <c r="V57" s="300">
        <f>R57-T57</f>
        <v>0</v>
      </c>
      <c r="W57" s="301">
        <f>S57-U57</f>
        <v>-22.269999999999996</v>
      </c>
      <c r="X57" s="302">
        <f>R57-R43</f>
        <v>0</v>
      </c>
      <c r="Y57" s="303">
        <f>S57-S43</f>
        <v>59.33</v>
      </c>
      <c r="AA57" s="293" t="s">
        <v>233</v>
      </c>
      <c r="AB57" s="317">
        <f>'Réserves 2024'!AM73</f>
        <v>0.99999999999999989</v>
      </c>
      <c r="AC57" s="297">
        <f>'Réserves 2024'!AL$73</f>
        <v>107.33</v>
      </c>
      <c r="AD57" s="298">
        <f>'Réserves 2023'!AL73</f>
        <v>0.99766975308641959</v>
      </c>
      <c r="AE57" s="299">
        <f>'Réserves 2023'!AK73</f>
        <v>129.298</v>
      </c>
      <c r="AF57" s="300">
        <f>AB57-AD57</f>
        <v>2.3302469135803028E-3</v>
      </c>
      <c r="AG57" s="301">
        <f>AC57-AE57</f>
        <v>-21.968000000000004</v>
      </c>
      <c r="AH57" s="302">
        <f>AB57-R57</f>
        <v>0</v>
      </c>
      <c r="AI57" s="303">
        <f>AC57-S57</f>
        <v>0</v>
      </c>
      <c r="AK57" s="293" t="s">
        <v>233</v>
      </c>
      <c r="AL57" s="317">
        <f>'Réserves 2024'!AO73</f>
        <v>0.9917210952424268</v>
      </c>
      <c r="AM57" s="297">
        <f>'Réserves 2024'!AN$73</f>
        <v>109.01990000000001</v>
      </c>
      <c r="AN57" s="298">
        <f>'Réserves 2023'!AN73</f>
        <v>0.95820115484771839</v>
      </c>
      <c r="AO57" s="299">
        <f>'Réserves 2023'!AM73</f>
        <v>126.94728000000001</v>
      </c>
      <c r="AP57" s="300">
        <f>AL57-AN57</f>
        <v>3.3519940394708403E-2</v>
      </c>
      <c r="AQ57" s="301">
        <f>AM57-AO57</f>
        <v>-17.927379999999999</v>
      </c>
      <c r="AR57" s="302">
        <f>AL57-AB57</f>
        <v>-8.2789047575730912E-3</v>
      </c>
      <c r="AS57" s="303">
        <f>AM57-AC57</f>
        <v>1.6899000000000086</v>
      </c>
    </row>
    <row r="58" spans="1:45">
      <c r="B58" s="262"/>
      <c r="C58" s="9"/>
      <c r="D58" s="9"/>
      <c r="AB58" s="421"/>
      <c r="AC58" s="421"/>
      <c r="AD58" s="421"/>
      <c r="AE58" s="421"/>
      <c r="AF58" s="422"/>
      <c r="AG58" s="422"/>
      <c r="AH58" s="423"/>
      <c r="AI58" s="423"/>
    </row>
    <row r="59" spans="1:45">
      <c r="A59" s="73" t="s">
        <v>211</v>
      </c>
      <c r="AB59" s="321"/>
      <c r="AC59" s="322"/>
      <c r="AD59" s="310"/>
      <c r="AE59" s="323"/>
      <c r="AF59" s="324"/>
      <c r="AG59" s="325"/>
      <c r="AH59" s="326"/>
      <c r="AI59" s="327"/>
    </row>
    <row r="60" spans="1:45">
      <c r="R60" s="419" t="s">
        <v>387</v>
      </c>
      <c r="S60" s="419"/>
      <c r="T60" s="416" t="s">
        <v>250</v>
      </c>
      <c r="U60" s="416"/>
      <c r="V60" s="417" t="s">
        <v>388</v>
      </c>
      <c r="W60" s="417"/>
      <c r="X60" s="418" t="s">
        <v>251</v>
      </c>
      <c r="Y60" s="418"/>
      <c r="AB60" s="419" t="s">
        <v>389</v>
      </c>
      <c r="AC60" s="419"/>
      <c r="AD60" s="416" t="s">
        <v>252</v>
      </c>
      <c r="AE60" s="416"/>
      <c r="AF60" s="417" t="s">
        <v>390</v>
      </c>
      <c r="AG60" s="417"/>
      <c r="AH60" s="418" t="s">
        <v>391</v>
      </c>
      <c r="AI60" s="418"/>
      <c r="AL60" s="419" t="s">
        <v>392</v>
      </c>
      <c r="AM60" s="419"/>
      <c r="AN60" s="416" t="s">
        <v>253</v>
      </c>
      <c r="AO60" s="416"/>
      <c r="AP60" s="417" t="s">
        <v>393</v>
      </c>
      <c r="AQ60" s="417"/>
      <c r="AR60" s="418" t="s">
        <v>394</v>
      </c>
      <c r="AS60" s="418"/>
    </row>
    <row r="61" spans="1:45" ht="39">
      <c r="A61" s="265" t="s">
        <v>218</v>
      </c>
      <c r="B61" s="266" t="s">
        <v>361</v>
      </c>
      <c r="C61" s="265" t="s">
        <v>254</v>
      </c>
      <c r="D61" s="266" t="s">
        <v>360</v>
      </c>
      <c r="F61" s="262"/>
      <c r="J61" s="311" t="s">
        <v>241</v>
      </c>
      <c r="K61" s="312" t="s">
        <v>255</v>
      </c>
      <c r="L61" s="312" t="s">
        <v>256</v>
      </c>
      <c r="M61" s="262"/>
      <c r="Q61" s="265" t="s">
        <v>218</v>
      </c>
      <c r="R61" s="268" t="s">
        <v>221</v>
      </c>
      <c r="S61" s="268" t="s">
        <v>222</v>
      </c>
      <c r="T61" s="269" t="s">
        <v>221</v>
      </c>
      <c r="U61" s="269" t="s">
        <v>222</v>
      </c>
      <c r="V61" s="270" t="s">
        <v>223</v>
      </c>
      <c r="W61" s="270" t="s">
        <v>224</v>
      </c>
      <c r="X61" s="271" t="s">
        <v>223</v>
      </c>
      <c r="Y61" s="271" t="s">
        <v>224</v>
      </c>
      <c r="AA61" s="265" t="s">
        <v>218</v>
      </c>
      <c r="AB61" s="268" t="s">
        <v>221</v>
      </c>
      <c r="AC61" s="268" t="s">
        <v>222</v>
      </c>
      <c r="AD61" s="269" t="s">
        <v>221</v>
      </c>
      <c r="AE61" s="269" t="s">
        <v>222</v>
      </c>
      <c r="AF61" s="270" t="s">
        <v>223</v>
      </c>
      <c r="AG61" s="270" t="s">
        <v>224</v>
      </c>
      <c r="AH61" s="271" t="s">
        <v>223</v>
      </c>
      <c r="AI61" s="271" t="s">
        <v>224</v>
      </c>
      <c r="AK61" s="265" t="s">
        <v>218</v>
      </c>
      <c r="AL61" s="268" t="s">
        <v>221</v>
      </c>
      <c r="AM61" s="268" t="s">
        <v>222</v>
      </c>
      <c r="AN61" s="269" t="s">
        <v>221</v>
      </c>
      <c r="AO61" s="269" t="s">
        <v>222</v>
      </c>
      <c r="AP61" s="270" t="s">
        <v>223</v>
      </c>
      <c r="AQ61" s="270" t="s">
        <v>224</v>
      </c>
      <c r="AR61" s="271" t="s">
        <v>223</v>
      </c>
      <c r="AS61" s="271" t="s">
        <v>224</v>
      </c>
    </row>
    <row r="62" spans="1:45">
      <c r="A62" s="272" t="s">
        <v>225</v>
      </c>
      <c r="B62" s="273">
        <f>'Réserves 2024'!AQ$14</f>
        <v>0.8004228873490965</v>
      </c>
      <c r="C62" s="274">
        <f>'Réserves 2023'!AP14</f>
        <v>0.75680691477962725</v>
      </c>
      <c r="D62" s="273">
        <f t="shared" ref="D62:D69" si="27">B48</f>
        <v>0.97876562611615114</v>
      </c>
      <c r="J62" s="272" t="s">
        <v>225</v>
      </c>
      <c r="K62" s="273">
        <f>'Réserves 2024'!AS$14</f>
        <v>0.69722737338381313</v>
      </c>
      <c r="L62" s="273">
        <f>'Réserves 2024'!AU$14</f>
        <v>0.63589542110150732</v>
      </c>
      <c r="M62" s="73"/>
      <c r="Q62" s="272" t="s">
        <v>225</v>
      </c>
      <c r="R62" s="275">
        <f>'Réserves 2024'!AQ$14</f>
        <v>0.8004228873490965</v>
      </c>
      <c r="S62" s="276">
        <f>'Réserves 2024'!AP$14</f>
        <v>56.025600000000011</v>
      </c>
      <c r="T62" s="277">
        <f>'Réserves 2023'!AP14</f>
        <v>0.75680691477962725</v>
      </c>
      <c r="U62" s="278">
        <f>'Réserves 2023'!AO14</f>
        <v>52.97270000000001</v>
      </c>
      <c r="V62" s="277">
        <f t="shared" ref="V62:W69" si="28">R62-T62</f>
        <v>4.3615972569469252E-2</v>
      </c>
      <c r="W62" s="276">
        <f t="shared" si="28"/>
        <v>3.0529000000000011</v>
      </c>
      <c r="X62" s="279">
        <f t="shared" ref="X62:Y69" si="29">R62-R48</f>
        <v>-0.17834273876705464</v>
      </c>
      <c r="Y62" s="280">
        <f t="shared" si="29"/>
        <v>-12.483099999999993</v>
      </c>
      <c r="AA62" s="272" t="s">
        <v>225</v>
      </c>
      <c r="AB62" s="275">
        <f>'Réserves 2024'!AS$14</f>
        <v>0.69722737338381313</v>
      </c>
      <c r="AC62" s="276">
        <f>'Réserves 2024'!AR$14</f>
        <v>48.802430000000001</v>
      </c>
      <c r="AD62" s="277">
        <f>'Réserves 2023'!AR14</f>
        <v>0.69039917136938367</v>
      </c>
      <c r="AE62" s="278">
        <f>'Réserves 2023'!AQ14</f>
        <v>48.324490000000011</v>
      </c>
      <c r="AF62" s="277">
        <f t="shared" ref="AF62:AG68" si="30">AB62-AD62</f>
        <v>6.8282020144294631E-3</v>
      </c>
      <c r="AG62" s="276">
        <f t="shared" si="30"/>
        <v>0.4779399999999896</v>
      </c>
      <c r="AH62" s="279">
        <f t="shared" ref="AH62:AI68" si="31">AB62-R62</f>
        <v>-0.10319551396528337</v>
      </c>
      <c r="AI62" s="280">
        <f t="shared" si="31"/>
        <v>-7.2231700000000103</v>
      </c>
      <c r="AK62" s="272" t="s">
        <v>225</v>
      </c>
      <c r="AL62" s="275">
        <f>'Réserves 2024'!AU$14</f>
        <v>0.63589542110150732</v>
      </c>
      <c r="AM62" s="276">
        <f>'Réserves 2024'!AT$14</f>
        <v>44.50950000000001</v>
      </c>
      <c r="AN62" s="277">
        <f>'Réserves 2023'!AT14</f>
        <v>0.57755982570183584</v>
      </c>
      <c r="AO62" s="278">
        <f>'Réserves 2023'!AS14</f>
        <v>40.426300000000005</v>
      </c>
      <c r="AP62" s="277">
        <f t="shared" ref="AP62:AQ69" si="32">AL62-AN62</f>
        <v>5.833559539967148E-2</v>
      </c>
      <c r="AQ62" s="276">
        <f t="shared" si="32"/>
        <v>4.083200000000005</v>
      </c>
      <c r="AR62" s="279">
        <f t="shared" ref="AR62:AS69" si="33">AL62-AB62</f>
        <v>-6.1331952282305813E-2</v>
      </c>
      <c r="AS62" s="280">
        <f t="shared" si="33"/>
        <v>-4.2929299999999913</v>
      </c>
    </row>
    <row r="63" spans="1:45">
      <c r="A63" s="281" t="s">
        <v>226</v>
      </c>
      <c r="B63" s="282">
        <f>'Réserves 2024'!AQ$16</f>
        <v>0.99433962264150944</v>
      </c>
      <c r="C63" s="283">
        <f>'Réserves 2023'!AP16</f>
        <v>0.68301886792452837</v>
      </c>
      <c r="D63" s="282">
        <f t="shared" si="27"/>
        <v>0.99905660377358496</v>
      </c>
      <c r="J63" s="314" t="s">
        <v>226</v>
      </c>
      <c r="K63" s="315">
        <f>'Réserves 2024'!AS$16</f>
        <v>0.97264150943396233</v>
      </c>
      <c r="L63" s="315">
        <f>'Réserves 2024'!AU$16</f>
        <v>0.95424528301886802</v>
      </c>
      <c r="Q63" s="281" t="s">
        <v>226</v>
      </c>
      <c r="R63" s="284">
        <f>'Réserves 2024'!AQ$16</f>
        <v>0.99433962264150944</v>
      </c>
      <c r="S63" s="285">
        <f>'Réserves 2024'!AP$16</f>
        <v>21.08</v>
      </c>
      <c r="T63" s="286">
        <f>'Réserves 2023'!AP16</f>
        <v>0.68301886792452837</v>
      </c>
      <c r="U63" s="287">
        <f>'Réserves 2023'!AO16</f>
        <v>14.48</v>
      </c>
      <c r="V63" s="288">
        <f t="shared" si="28"/>
        <v>0.31132075471698106</v>
      </c>
      <c r="W63" s="289">
        <f t="shared" si="28"/>
        <v>6.5999999999999979</v>
      </c>
      <c r="X63" s="290">
        <f t="shared" si="29"/>
        <v>-4.7169811320755262E-3</v>
      </c>
      <c r="Y63" s="291">
        <f t="shared" si="29"/>
        <v>-0.10000000000000142</v>
      </c>
      <c r="AA63" s="281" t="s">
        <v>226</v>
      </c>
      <c r="AB63" s="284" t="s">
        <v>416</v>
      </c>
      <c r="AC63" s="285" t="s">
        <v>416</v>
      </c>
      <c r="AD63" s="286">
        <f>'Réserves 2023'!AR16</f>
        <v>0.59811320754716979</v>
      </c>
      <c r="AE63" s="287">
        <f>'Réserves 2023'!AQ16</f>
        <v>12.68</v>
      </c>
      <c r="AF63" s="284" t="s">
        <v>416</v>
      </c>
      <c r="AG63" s="285" t="s">
        <v>416</v>
      </c>
      <c r="AH63" s="284" t="s">
        <v>416</v>
      </c>
      <c r="AI63" s="285" t="s">
        <v>416</v>
      </c>
      <c r="AK63" s="281" t="s">
        <v>226</v>
      </c>
      <c r="AL63" s="284">
        <f>'Réserves 2024'!AU$16</f>
        <v>0.95424528301886802</v>
      </c>
      <c r="AM63" s="285">
        <f>'Réserves 2024'!AT$16</f>
        <v>20.23</v>
      </c>
      <c r="AN63" s="286">
        <f>'Réserves 2023'!AT16</f>
        <v>0.48584905660377364</v>
      </c>
      <c r="AO63" s="287">
        <f>'Réserves 2023'!AS16</f>
        <v>10.3</v>
      </c>
      <c r="AP63" s="288">
        <f t="shared" si="32"/>
        <v>0.46839622641509437</v>
      </c>
      <c r="AQ63" s="289">
        <f t="shared" si="32"/>
        <v>9.93</v>
      </c>
      <c r="AR63" s="290" t="e">
        <f t="shared" si="33"/>
        <v>#VALUE!</v>
      </c>
      <c r="AS63" s="291" t="e">
        <f t="shared" si="33"/>
        <v>#VALUE!</v>
      </c>
    </row>
    <row r="64" spans="1:45">
      <c r="A64" s="272" t="s">
        <v>227</v>
      </c>
      <c r="B64" s="273">
        <f>'Réserves 2024'!AQ$18</f>
        <v>0.99205308493589739</v>
      </c>
      <c r="C64" s="274">
        <f>'Réserves 2023'!AP18</f>
        <v>0.80999010600706722</v>
      </c>
      <c r="D64" s="273">
        <f t="shared" si="27"/>
        <v>0.99644871794871792</v>
      </c>
      <c r="J64" s="272" t="s">
        <v>227</v>
      </c>
      <c r="K64" s="273">
        <f>'Réserves 2024'!AS$18</f>
        <v>0.99086858974358982</v>
      </c>
      <c r="L64" s="273">
        <f>'Réserves 2024'!AU$18</f>
        <v>0.94793910256410252</v>
      </c>
      <c r="Q64" s="272" t="s">
        <v>227</v>
      </c>
      <c r="R64" s="275">
        <f>'Réserves 2024'!AQ18</f>
        <v>0.99205308493589739</v>
      </c>
      <c r="S64" s="276">
        <f>'Réserves 2024'!AP$18</f>
        <v>4.9523289999999998</v>
      </c>
      <c r="T64" s="277">
        <f>'Réserves 2023'!AP18</f>
        <v>0.80999010600706722</v>
      </c>
      <c r="U64" s="278">
        <f>'Réserves 2023'!AO18</f>
        <v>4.011476</v>
      </c>
      <c r="V64" s="277">
        <f t="shared" si="28"/>
        <v>0.18206297892883017</v>
      </c>
      <c r="W64" s="276">
        <f t="shared" si="28"/>
        <v>0.94085299999999972</v>
      </c>
      <c r="X64" s="279">
        <f t="shared" si="29"/>
        <v>-4.3956330128205323E-3</v>
      </c>
      <c r="Y64" s="280">
        <f t="shared" si="29"/>
        <v>-2.1943000000000268E-2</v>
      </c>
      <c r="AA64" s="272" t="s">
        <v>227</v>
      </c>
      <c r="AB64" s="275">
        <f>'Réserves 2024'!AS18</f>
        <v>0.99086858974358982</v>
      </c>
      <c r="AC64" s="276">
        <f>'Réserves 2024'!AR$18</f>
        <v>4.9464160000000001</v>
      </c>
      <c r="AD64" s="277">
        <f>'Réserves 2023'!AR18</f>
        <v>0.71767551741544677</v>
      </c>
      <c r="AE64" s="278">
        <f>'Réserves 2023'!AQ18</f>
        <v>3.5542880000000001</v>
      </c>
      <c r="AF64" s="277">
        <f t="shared" si="30"/>
        <v>0.27319307232814305</v>
      </c>
      <c r="AG64" s="276">
        <f t="shared" si="30"/>
        <v>1.392128</v>
      </c>
      <c r="AH64" s="279">
        <f t="shared" si="31"/>
        <v>-1.1844951923075664E-3</v>
      </c>
      <c r="AI64" s="280">
        <f t="shared" si="31"/>
        <v>-5.912999999999613E-3</v>
      </c>
      <c r="AK64" s="272" t="s">
        <v>227</v>
      </c>
      <c r="AL64" s="275">
        <f>'Réserves 2024'!AU18</f>
        <v>0.94793910256410252</v>
      </c>
      <c r="AM64" s="276">
        <f>'Réserves 2024'!AT$18</f>
        <v>4.7321119999999999</v>
      </c>
      <c r="AN64" s="277">
        <f>'Réserves 2023'!AT18</f>
        <v>0.56720282685512369</v>
      </c>
      <c r="AO64" s="278">
        <f>'Réserves 2023'!AS18</f>
        <v>2.809072</v>
      </c>
      <c r="AP64" s="277">
        <f t="shared" si="32"/>
        <v>0.38073627570897883</v>
      </c>
      <c r="AQ64" s="276">
        <f t="shared" si="32"/>
        <v>1.9230399999999999</v>
      </c>
      <c r="AR64" s="279">
        <f t="shared" si="33"/>
        <v>-4.2929487179487302E-2</v>
      </c>
      <c r="AS64" s="280">
        <f t="shared" si="33"/>
        <v>-0.21430400000000027</v>
      </c>
    </row>
    <row r="65" spans="1:45">
      <c r="A65" s="281" t="s">
        <v>228</v>
      </c>
      <c r="B65" s="282">
        <f>'Réserves 2024'!AQ$31</f>
        <v>0.63400688553166762</v>
      </c>
      <c r="C65" s="283">
        <f>'Réserves 2023'!AP31</f>
        <v>0.56790235285440338</v>
      </c>
      <c r="D65" s="282">
        <f t="shared" si="27"/>
        <v>0.71882988814642668</v>
      </c>
      <c r="J65" s="314" t="s">
        <v>228</v>
      </c>
      <c r="K65" s="315">
        <f>'Réserves 2024'!AS$31</f>
        <v>0.58111531086577572</v>
      </c>
      <c r="L65" s="315">
        <f>'Réserves 2024'!AU$31</f>
        <v>0.55749023823358512</v>
      </c>
      <c r="Q65" s="281" t="s">
        <v>228</v>
      </c>
      <c r="R65" s="284">
        <f>'Réserves 2024'!AQ$31</f>
        <v>0.63400688553166762</v>
      </c>
      <c r="S65" s="285">
        <f>'Réserves 2024'!AP$31</f>
        <v>87.290067999999991</v>
      </c>
      <c r="T65" s="286">
        <f>'Réserves 2023'!AP31</f>
        <v>0.56790235285440338</v>
      </c>
      <c r="U65" s="287">
        <f>'Réserves 2023'!AO31</f>
        <v>76.996200999999999</v>
      </c>
      <c r="V65" s="288">
        <f t="shared" si="28"/>
        <v>6.6104532677264238E-2</v>
      </c>
      <c r="W65" s="289">
        <f t="shared" si="28"/>
        <v>10.293866999999992</v>
      </c>
      <c r="X65" s="290">
        <f t="shared" si="29"/>
        <v>-8.4823002614759058E-2</v>
      </c>
      <c r="Y65" s="291">
        <f t="shared" si="29"/>
        <v>-11.678431000000018</v>
      </c>
      <c r="AA65" s="281" t="s">
        <v>228</v>
      </c>
      <c r="AB65" s="284">
        <f>'Réserves 2024'!AS$31</f>
        <v>0.58111531086577572</v>
      </c>
      <c r="AC65" s="285">
        <f>'Réserves 2024'!AR$31</f>
        <v>80.007955999999993</v>
      </c>
      <c r="AD65" s="286">
        <f>'Réserves 2023'!AR31</f>
        <v>0.53895099572208283</v>
      </c>
      <c r="AE65" s="287">
        <f>'Réserves 2023'!AQ31</f>
        <v>73.070975999999987</v>
      </c>
      <c r="AF65" s="288">
        <f t="shared" si="30"/>
        <v>4.2164315143692899E-2</v>
      </c>
      <c r="AG65" s="289">
        <f t="shared" si="30"/>
        <v>6.9369800000000055</v>
      </c>
      <c r="AH65" s="290">
        <f t="shared" si="31"/>
        <v>-5.2891574665891894E-2</v>
      </c>
      <c r="AI65" s="291">
        <f t="shared" si="31"/>
        <v>-7.2821119999999979</v>
      </c>
      <c r="AK65" s="281" t="s">
        <v>228</v>
      </c>
      <c r="AL65" s="284">
        <f>'Réserves 2024'!AU$31</f>
        <v>0.55749023823358512</v>
      </c>
      <c r="AM65" s="285">
        <f>'Réserves 2024'!AT$31</f>
        <v>76.755255999999989</v>
      </c>
      <c r="AN65" s="286">
        <f>'Réserves 2023'!AT31</f>
        <v>0.47895610110400932</v>
      </c>
      <c r="AO65" s="287">
        <f>'Réserves 2023'!AS31</f>
        <v>65.942675999999992</v>
      </c>
      <c r="AP65" s="288">
        <f t="shared" si="32"/>
        <v>7.8534137129575798E-2</v>
      </c>
      <c r="AQ65" s="289">
        <f t="shared" si="32"/>
        <v>10.812579999999997</v>
      </c>
      <c r="AR65" s="290">
        <f t="shared" si="33"/>
        <v>-2.3625072632190602E-2</v>
      </c>
      <c r="AS65" s="291">
        <f t="shared" si="33"/>
        <v>-3.2527000000000044</v>
      </c>
    </row>
    <row r="66" spans="1:45">
      <c r="A66" s="272" t="s">
        <v>229</v>
      </c>
      <c r="B66" s="273">
        <f>'Réserves 2024'!AQ$45</f>
        <v>1.0012195121951222</v>
      </c>
      <c r="C66" s="274">
        <f>'Réserves 2023'!AP45</f>
        <v>0.95243902439024397</v>
      </c>
      <c r="D66" s="273">
        <f t="shared" si="27"/>
        <v>1</v>
      </c>
      <c r="J66" s="272" t="s">
        <v>229</v>
      </c>
      <c r="K66" s="273">
        <f>'Réserves 2024'!AS$45</f>
        <v>1</v>
      </c>
      <c r="L66" s="273">
        <f>'Réserves 2024'!AU$45</f>
        <v>0.99390243902439035</v>
      </c>
      <c r="Q66" s="272" t="s">
        <v>229</v>
      </c>
      <c r="R66" s="275">
        <f>'Réserves 2024'!AQ$45</f>
        <v>1.0012195121951222</v>
      </c>
      <c r="S66" s="276">
        <f>'Réserves 2024'!AP$45</f>
        <v>8.2100000000000009</v>
      </c>
      <c r="T66" s="277">
        <f>'Réserves 2023'!AP45</f>
        <v>0.95243902439024397</v>
      </c>
      <c r="U66" s="292">
        <f>'Réserves 2023'!AO45</f>
        <v>7.81</v>
      </c>
      <c r="V66" s="277">
        <f t="shared" si="28"/>
        <v>4.8780487804878203E-2</v>
      </c>
      <c r="W66" s="276">
        <f t="shared" si="28"/>
        <v>0.40000000000000124</v>
      </c>
      <c r="X66" s="279">
        <f t="shared" si="29"/>
        <v>1.2195121951221743E-3</v>
      </c>
      <c r="Y66" s="280">
        <f t="shared" si="29"/>
        <v>1.0000000000001563E-2</v>
      </c>
      <c r="AA66" s="272" t="s">
        <v>229</v>
      </c>
      <c r="AB66" s="275">
        <f>'Réserves 2024'!AS$45</f>
        <v>1</v>
      </c>
      <c r="AC66" s="276">
        <f>'Réserves 2024'!AR$45</f>
        <v>8.1999999999999993</v>
      </c>
      <c r="AD66" s="277">
        <f>'Réserves 2023'!AR45</f>
        <v>0.91707317073170735</v>
      </c>
      <c r="AE66" s="292">
        <f>'Réserves 2023'!AQ45</f>
        <v>7.52</v>
      </c>
      <c r="AF66" s="277">
        <f t="shared" si="30"/>
        <v>8.2926829268292646E-2</v>
      </c>
      <c r="AG66" s="276">
        <f t="shared" si="30"/>
        <v>0.67999999999999972</v>
      </c>
      <c r="AH66" s="279">
        <f t="shared" si="31"/>
        <v>-1.2195121951221743E-3</v>
      </c>
      <c r="AI66" s="280">
        <f t="shared" si="31"/>
        <v>-1.0000000000001563E-2</v>
      </c>
      <c r="AK66" s="272" t="s">
        <v>229</v>
      </c>
      <c r="AL66" s="275">
        <f>'Réserves 2024'!AU$45</f>
        <v>0.99390243902439035</v>
      </c>
      <c r="AM66" s="276">
        <f>'Réserves 2024'!AT$45</f>
        <v>8.15</v>
      </c>
      <c r="AN66" s="277">
        <f>'Réserves 2023'!AT45</f>
        <v>0.85365853658536595</v>
      </c>
      <c r="AO66" s="292">
        <f>'Réserves 2023'!AS45</f>
        <v>7</v>
      </c>
      <c r="AP66" s="277">
        <f t="shared" si="32"/>
        <v>0.1402439024390244</v>
      </c>
      <c r="AQ66" s="276">
        <f t="shared" si="32"/>
        <v>1.1500000000000004</v>
      </c>
      <c r="AR66" s="279">
        <f t="shared" si="33"/>
        <v>-6.0975609756096505E-3</v>
      </c>
      <c r="AS66" s="280">
        <f t="shared" si="33"/>
        <v>-4.9999999999998934E-2</v>
      </c>
    </row>
    <row r="67" spans="1:45">
      <c r="A67" s="281" t="s">
        <v>230</v>
      </c>
      <c r="B67" s="282">
        <f>'Réserves 2024'!AQ$43</f>
        <v>0.80123083567264097</v>
      </c>
      <c r="C67" s="283">
        <f>'Réserves 2023'!AP43</f>
        <v>0.83256028215648159</v>
      </c>
      <c r="D67" s="282">
        <f t="shared" si="27"/>
        <v>0.98245778449578924</v>
      </c>
      <c r="J67" s="314" t="s">
        <v>230</v>
      </c>
      <c r="K67" s="315">
        <f>'Réserves 2024'!AS$43</f>
        <v>0.70790470020873819</v>
      </c>
      <c r="L67" s="315">
        <f>'Réserves 2024'!AU$43</f>
        <v>0.65351184049521349</v>
      </c>
      <c r="Q67" s="281" t="s">
        <v>230</v>
      </c>
      <c r="R67" s="284">
        <f>'Réserves 2024'!AQ$43</f>
        <v>0.80123083567264097</v>
      </c>
      <c r="S67" s="285">
        <f>'Réserves 2024'!AP$43</f>
        <v>55.657500000000006</v>
      </c>
      <c r="T67" s="286">
        <f>'Réserves 2023'!AP43</f>
        <v>0.83256028215648159</v>
      </c>
      <c r="U67" s="287">
        <f>'Réserves 2023'!AO43</f>
        <v>57.833799999999997</v>
      </c>
      <c r="V67" s="288">
        <f t="shared" si="28"/>
        <v>-3.1329446483840617E-2</v>
      </c>
      <c r="W67" s="289">
        <f t="shared" si="28"/>
        <v>-2.1762999999999906</v>
      </c>
      <c r="X67" s="290">
        <f t="shared" si="29"/>
        <v>-0.18122694882314827</v>
      </c>
      <c r="Y67" s="291">
        <f t="shared" si="29"/>
        <v>-12.588929999999998</v>
      </c>
      <c r="AA67" s="281" t="s">
        <v>230</v>
      </c>
      <c r="AB67" s="284">
        <f>'Réserves 2024'!AS$43</f>
        <v>0.70790470020873819</v>
      </c>
      <c r="AC67" s="285">
        <f>'Réserves 2024'!AR$43</f>
        <v>49.174599999999998</v>
      </c>
      <c r="AD67" s="286">
        <f>'Réserves 2023'!AR43</f>
        <v>0.7442441517310876</v>
      </c>
      <c r="AE67" s="287">
        <f>'Réserves 2023'!AQ43</f>
        <v>51.698920000000001</v>
      </c>
      <c r="AF67" s="288">
        <f t="shared" si="30"/>
        <v>-3.6339451522349409E-2</v>
      </c>
      <c r="AG67" s="289">
        <f t="shared" si="30"/>
        <v>-2.524320000000003</v>
      </c>
      <c r="AH67" s="290">
        <f t="shared" si="31"/>
        <v>-9.3326135463902782E-2</v>
      </c>
      <c r="AI67" s="291">
        <f t="shared" si="31"/>
        <v>-6.4829000000000079</v>
      </c>
      <c r="AK67" s="281" t="s">
        <v>230</v>
      </c>
      <c r="AL67" s="284">
        <f>'Réserves 2024'!AU$43</f>
        <v>0.65351184049521349</v>
      </c>
      <c r="AM67" s="285">
        <f>'Réserves 2024'!AT$43</f>
        <v>45.396200000000007</v>
      </c>
      <c r="AN67" s="286">
        <f>'Réserves 2023'!AT43</f>
        <v>0.63292190311667751</v>
      </c>
      <c r="AO67" s="287">
        <f>'Réserves 2023'!AS43</f>
        <v>43.965920000000004</v>
      </c>
      <c r="AP67" s="288">
        <f t="shared" si="32"/>
        <v>2.0589937378535983E-2</v>
      </c>
      <c r="AQ67" s="289">
        <f t="shared" si="32"/>
        <v>1.4302800000000033</v>
      </c>
      <c r="AR67" s="290">
        <f t="shared" si="33"/>
        <v>-5.4392859713524699E-2</v>
      </c>
      <c r="AS67" s="291">
        <f t="shared" si="33"/>
        <v>-3.7783999999999907</v>
      </c>
    </row>
    <row r="68" spans="1:45">
      <c r="A68" s="272" t="s">
        <v>231</v>
      </c>
      <c r="B68" s="273">
        <f>'Réserves 2024'!AQ$58</f>
        <v>0.93213503335346959</v>
      </c>
      <c r="C68" s="274">
        <f>'Réserves 2023'!AP58</f>
        <v>0.76010683744246565</v>
      </c>
      <c r="D68" s="273">
        <f t="shared" si="27"/>
        <v>0.98497263601660567</v>
      </c>
      <c r="J68" s="272" t="s">
        <v>231</v>
      </c>
      <c r="K68" s="273">
        <f>'Réserves 2024'!AS$58</f>
        <v>0.88666965284114996</v>
      </c>
      <c r="L68" s="273">
        <f>'Réserves 2024'!AU$58</f>
        <v>0.85471772296698056</v>
      </c>
      <c r="Q68" s="272" t="s">
        <v>231</v>
      </c>
      <c r="R68" s="275">
        <f>'Réserves 2024'!AQ$58</f>
        <v>0.93213503335346959</v>
      </c>
      <c r="S68" s="276">
        <f>'Réserves 2024'!AP$58</f>
        <v>72.522902000000016</v>
      </c>
      <c r="T68" s="277">
        <f>'Réserves 2023'!AP58</f>
        <v>0.76010683744246565</v>
      </c>
      <c r="U68" s="278">
        <f>'Réserves 2023'!AO58</f>
        <v>59.286053000000003</v>
      </c>
      <c r="V68" s="277">
        <f t="shared" si="28"/>
        <v>0.17202819591100393</v>
      </c>
      <c r="W68" s="276">
        <f t="shared" si="28"/>
        <v>13.236849000000014</v>
      </c>
      <c r="X68" s="279">
        <f t="shared" si="29"/>
        <v>-5.2837602663136085E-2</v>
      </c>
      <c r="Y68" s="280">
        <f t="shared" si="29"/>
        <v>-4.1109239999999829</v>
      </c>
      <c r="AA68" s="272" t="s">
        <v>231</v>
      </c>
      <c r="AB68" s="275">
        <f>'Réserves 2024'!AS$58</f>
        <v>0.88666965284114996</v>
      </c>
      <c r="AC68" s="276">
        <f>'Réserves 2024'!AR$58</f>
        <v>68.985559000000009</v>
      </c>
      <c r="AD68" s="277">
        <f>'Réserves 2023'!AR58</f>
        <v>0.74809650960577267</v>
      </c>
      <c r="AE68" s="278">
        <f>'Réserves 2023'!AQ58</f>
        <v>54.632739999999984</v>
      </c>
      <c r="AF68" s="277">
        <f t="shared" si="30"/>
        <v>0.13857314323537728</v>
      </c>
      <c r="AG68" s="276">
        <f t="shared" si="30"/>
        <v>14.352819000000025</v>
      </c>
      <c r="AH68" s="279">
        <f t="shared" si="31"/>
        <v>-4.5465380512319631E-2</v>
      </c>
      <c r="AI68" s="280">
        <f t="shared" si="31"/>
        <v>-3.537343000000007</v>
      </c>
      <c r="AK68" s="272" t="s">
        <v>231</v>
      </c>
      <c r="AL68" s="275">
        <f>'Réserves 2024'!AU$58</f>
        <v>0.85471772296698056</v>
      </c>
      <c r="AM68" s="276">
        <f>'Réserves 2024'!AT$58</f>
        <v>66.499603000000008</v>
      </c>
      <c r="AN68" s="277">
        <f>'Réserves 2023'!AT58</f>
        <v>0.65302197520417427</v>
      </c>
      <c r="AO68" s="278">
        <f>'Réserves 2023'!AS58</f>
        <v>50.933754999999991</v>
      </c>
      <c r="AP68" s="277">
        <f t="shared" si="32"/>
        <v>0.2016957477628063</v>
      </c>
      <c r="AQ68" s="276">
        <f t="shared" si="32"/>
        <v>15.565848000000017</v>
      </c>
      <c r="AR68" s="279">
        <f t="shared" si="33"/>
        <v>-3.1951929874169394E-2</v>
      </c>
      <c r="AS68" s="280">
        <f t="shared" si="33"/>
        <v>-2.4859560000000016</v>
      </c>
    </row>
    <row r="69" spans="1:45">
      <c r="A69" s="293" t="s">
        <v>232</v>
      </c>
      <c r="B69" s="294">
        <f>'Réserves 2024'!AQ$60</f>
        <v>0.78528362207353564</v>
      </c>
      <c r="C69" s="295">
        <f>'Réserves 2023'!AP60</f>
        <v>0.70191938421960032</v>
      </c>
      <c r="D69" s="294">
        <f t="shared" si="27"/>
        <v>0.89052288389176404</v>
      </c>
      <c r="J69" s="141" t="s">
        <v>232</v>
      </c>
      <c r="K69" s="316">
        <f>'Réserves 2024'!AS$60</f>
        <v>0.72106787470944045</v>
      </c>
      <c r="L69" s="316">
        <f>'Réserves 2024'!AU$60</f>
        <v>0.683916603952894</v>
      </c>
      <c r="Q69" s="293" t="s">
        <v>232</v>
      </c>
      <c r="R69" s="296">
        <f>'Réserves 2024'!AQ$60</f>
        <v>0.78528362207353564</v>
      </c>
      <c r="S69" s="297">
        <f>'Réserves 2024'!AP$60</f>
        <v>305.73839900000002</v>
      </c>
      <c r="T69" s="298">
        <f>'Réserves 2023'!AP60</f>
        <v>0.70191938421960032</v>
      </c>
      <c r="U69" s="299">
        <f>'Réserves 2023'!AO60</f>
        <v>273.39022999999997</v>
      </c>
      <c r="V69" s="300">
        <f t="shared" si="28"/>
        <v>8.3364237853935319E-2</v>
      </c>
      <c r="W69" s="301">
        <f t="shared" si="28"/>
        <v>32.348169000000041</v>
      </c>
      <c r="X69" s="302">
        <f t="shared" si="29"/>
        <v>-0.1052392618182284</v>
      </c>
      <c r="Y69" s="303">
        <f t="shared" si="29"/>
        <v>-40.973327999999981</v>
      </c>
      <c r="AA69" s="293" t="s">
        <v>232</v>
      </c>
      <c r="AB69" s="390">
        <f>'Réserves 2024'!AS$60</f>
        <v>0.72106787470944045</v>
      </c>
      <c r="AC69" s="391">
        <f>'Réserves 2024'!AR$60</f>
        <v>280.73696100000001</v>
      </c>
      <c r="AD69" s="298">
        <f>'Réserves 2023'!AR60</f>
        <v>0.65401132056334954</v>
      </c>
      <c r="AE69" s="299">
        <f>'Réserves 2023'!AQ60</f>
        <v>251.48141399999997</v>
      </c>
      <c r="AF69" s="392"/>
      <c r="AG69" s="393"/>
      <c r="AH69" s="394"/>
      <c r="AI69" s="395"/>
      <c r="AK69" s="293" t="s">
        <v>232</v>
      </c>
      <c r="AL69" s="296">
        <f>'Réserves 2024'!AU$60</f>
        <v>0.683916603952894</v>
      </c>
      <c r="AM69" s="297">
        <f>'Réserves 2024'!AT$60</f>
        <v>266.272671</v>
      </c>
      <c r="AN69" s="298">
        <f>'Réserves 2023'!AT60</f>
        <v>0.60109702557363165</v>
      </c>
      <c r="AO69" s="299">
        <f>'Réserves 2023'!AS60</f>
        <v>221.377723</v>
      </c>
      <c r="AP69" s="300">
        <f t="shared" si="32"/>
        <v>8.2819578379262349E-2</v>
      </c>
      <c r="AQ69" s="301">
        <f t="shared" si="32"/>
        <v>44.894947999999999</v>
      </c>
      <c r="AR69" s="302">
        <f t="shared" si="33"/>
        <v>-3.7151270756546451E-2</v>
      </c>
      <c r="AS69" s="303">
        <f t="shared" si="33"/>
        <v>-14.464290000000005</v>
      </c>
    </row>
    <row r="70" spans="1:45">
      <c r="F70" s="328"/>
      <c r="M70" s="328"/>
      <c r="P70" s="329"/>
      <c r="AE70" s="264"/>
      <c r="AO70" s="264"/>
    </row>
    <row r="71" spans="1:45">
      <c r="A71" s="293" t="s">
        <v>233</v>
      </c>
      <c r="B71" s="317">
        <f>'Réserves 2024'!AQ$73</f>
        <v>0.935023942508869</v>
      </c>
      <c r="C71" s="318">
        <f>'Réserves 2023'!AP73</f>
        <v>0.89036299859099843</v>
      </c>
      <c r="D71" s="318">
        <f>B57</f>
        <v>0.99999999999999989</v>
      </c>
      <c r="F71" s="328"/>
      <c r="J71" s="319" t="s">
        <v>233</v>
      </c>
      <c r="K71" s="320">
        <f>'Réserves 2024'!AS$73</f>
        <v>0.8549409754102083</v>
      </c>
      <c r="L71" s="320">
        <f>'Réserves 2024'!AU$73</f>
        <v>0.79461915801498495</v>
      </c>
      <c r="M71" s="328"/>
      <c r="P71" s="329"/>
      <c r="Q71" s="293" t="s">
        <v>233</v>
      </c>
      <c r="R71" s="317">
        <f>'Réserves 2024'!AQ$73</f>
        <v>0.935023942508869</v>
      </c>
      <c r="S71" s="297">
        <f>'Réserves 2024'!AP$73</f>
        <v>102.787182</v>
      </c>
      <c r="T71" s="298">
        <f>'Réserves 2023'!AP73</f>
        <v>0.89036299859099843</v>
      </c>
      <c r="U71" s="299">
        <f>'Réserves 2023'!AO73</f>
        <v>120.69493700000001</v>
      </c>
      <c r="V71" s="300">
        <f>R71-T71</f>
        <v>4.4660943917870566E-2</v>
      </c>
      <c r="W71" s="301">
        <f>S71-U71</f>
        <v>-17.907755000000009</v>
      </c>
      <c r="X71" s="302">
        <f>R71-R57</f>
        <v>-6.497605749113089E-2</v>
      </c>
      <c r="Y71" s="303">
        <f>S71-S57</f>
        <v>-4.5428179999999969</v>
      </c>
      <c r="AA71" s="293" t="s">
        <v>233</v>
      </c>
      <c r="AB71" s="317">
        <f>'Réserves 2024'!AS$73</f>
        <v>0.8549409754102083</v>
      </c>
      <c r="AC71" s="297">
        <f>'Réserves 2024'!AR$73</f>
        <v>94.047781999999998</v>
      </c>
      <c r="AD71" s="298">
        <f>'Réserves 2023'!AR73</f>
        <v>0.79589068571135846</v>
      </c>
      <c r="AE71" s="299">
        <f>'Réserves 2023'!AQ73</f>
        <v>108.76721699999999</v>
      </c>
      <c r="AF71" s="300">
        <f>AB71-AD71</f>
        <v>5.9050289698849845E-2</v>
      </c>
      <c r="AG71" s="301">
        <f>AC71-AE71</f>
        <v>-14.71943499999999</v>
      </c>
      <c r="AH71" s="302">
        <f>AB71-R71</f>
        <v>-8.0082967098660696E-2</v>
      </c>
      <c r="AI71" s="303">
        <f>AC71-S71</f>
        <v>-8.7394000000000034</v>
      </c>
      <c r="AK71" s="293" t="s">
        <v>233</v>
      </c>
      <c r="AL71" s="317">
        <f>'Réserves 2024'!AU$73</f>
        <v>0.79461915801498495</v>
      </c>
      <c r="AM71" s="297">
        <f>'Réserves 2024'!AT$73</f>
        <v>94.600999999999999</v>
      </c>
      <c r="AN71" s="298">
        <f>'Réserves 2023'!AT73</f>
        <v>0.58548387006322977</v>
      </c>
      <c r="AO71" s="299">
        <f>'Réserves 2023'!AS73</f>
        <v>83.521615999999995</v>
      </c>
      <c r="AP71" s="300">
        <f>AL71-AN71</f>
        <v>0.20913528795175518</v>
      </c>
      <c r="AQ71" s="301">
        <f>AM71-AO71</f>
        <v>11.079384000000005</v>
      </c>
      <c r="AR71" s="302">
        <f>AL71-AB71</f>
        <v>-6.0321817395223354E-2</v>
      </c>
      <c r="AS71" s="303">
        <f>AM71-AM57</f>
        <v>-14.418900000000008</v>
      </c>
    </row>
    <row r="72" spans="1:45">
      <c r="F72" s="264"/>
      <c r="M72" s="264"/>
    </row>
    <row r="73" spans="1:45">
      <c r="A73" s="73" t="s">
        <v>214</v>
      </c>
    </row>
    <row r="74" spans="1:45">
      <c r="R74" s="419" t="s">
        <v>401</v>
      </c>
      <c r="S74" s="419"/>
      <c r="T74" s="416" t="s">
        <v>257</v>
      </c>
      <c r="U74" s="416"/>
      <c r="V74" s="417" t="s">
        <v>388</v>
      </c>
      <c r="W74" s="417"/>
      <c r="X74" s="418" t="s">
        <v>402</v>
      </c>
      <c r="Y74" s="418"/>
      <c r="AB74" s="419" t="s">
        <v>400</v>
      </c>
      <c r="AC74" s="419"/>
      <c r="AD74" s="416" t="s">
        <v>258</v>
      </c>
      <c r="AE74" s="416"/>
      <c r="AF74" s="417" t="s">
        <v>399</v>
      </c>
      <c r="AG74" s="417"/>
      <c r="AH74" s="418" t="s">
        <v>398</v>
      </c>
      <c r="AI74" s="418"/>
      <c r="AL74" s="419" t="s">
        <v>397</v>
      </c>
      <c r="AM74" s="419"/>
      <c r="AN74" s="416" t="s">
        <v>259</v>
      </c>
      <c r="AO74" s="416"/>
      <c r="AP74" s="417" t="s">
        <v>396</v>
      </c>
      <c r="AQ74" s="417"/>
      <c r="AR74" s="424" t="s">
        <v>395</v>
      </c>
      <c r="AS74" s="424"/>
    </row>
    <row r="75" spans="1:45" ht="39">
      <c r="A75" s="265" t="s">
        <v>218</v>
      </c>
      <c r="B75" s="266" t="s">
        <v>362</v>
      </c>
      <c r="C75" s="265" t="s">
        <v>260</v>
      </c>
      <c r="D75" s="266" t="s">
        <v>361</v>
      </c>
      <c r="F75" s="262"/>
      <c r="J75" s="311" t="s">
        <v>241</v>
      </c>
      <c r="K75" s="312" t="s">
        <v>261</v>
      </c>
      <c r="L75" s="312" t="s">
        <v>262</v>
      </c>
      <c r="M75" s="262"/>
      <c r="Q75" s="265" t="s">
        <v>218</v>
      </c>
      <c r="R75" s="268" t="s">
        <v>221</v>
      </c>
      <c r="S75" s="268" t="s">
        <v>222</v>
      </c>
      <c r="T75" s="269" t="s">
        <v>221</v>
      </c>
      <c r="U75" s="269" t="s">
        <v>222</v>
      </c>
      <c r="V75" s="270" t="s">
        <v>223</v>
      </c>
      <c r="W75" s="270" t="s">
        <v>224</v>
      </c>
      <c r="X75" s="271" t="s">
        <v>223</v>
      </c>
      <c r="Y75" s="271" t="s">
        <v>224</v>
      </c>
      <c r="AA75" s="265" t="s">
        <v>218</v>
      </c>
      <c r="AB75" s="268" t="s">
        <v>221</v>
      </c>
      <c r="AC75" s="268" t="s">
        <v>222</v>
      </c>
      <c r="AD75" s="269" t="s">
        <v>221</v>
      </c>
      <c r="AE75" s="269" t="s">
        <v>222</v>
      </c>
      <c r="AF75" s="270" t="s">
        <v>223</v>
      </c>
      <c r="AG75" s="270" t="s">
        <v>224</v>
      </c>
      <c r="AH75" s="271" t="s">
        <v>223</v>
      </c>
      <c r="AI75" s="271" t="s">
        <v>224</v>
      </c>
      <c r="AK75" s="265" t="s">
        <v>218</v>
      </c>
      <c r="AL75" s="268" t="s">
        <v>221</v>
      </c>
      <c r="AM75" s="268" t="s">
        <v>222</v>
      </c>
      <c r="AN75" s="269" t="s">
        <v>221</v>
      </c>
      <c r="AO75" s="269" t="s">
        <v>222</v>
      </c>
      <c r="AP75" s="270" t="s">
        <v>223</v>
      </c>
      <c r="AQ75" s="270" t="s">
        <v>224</v>
      </c>
      <c r="AR75" s="271" t="s">
        <v>223</v>
      </c>
      <c r="AS75" s="271" t="s">
        <v>224</v>
      </c>
    </row>
    <row r="76" spans="1:45">
      <c r="A76" s="272" t="s">
        <v>225</v>
      </c>
      <c r="B76" s="273">
        <f>'Réserves 2024'!AW$14</f>
        <v>0.53439531395099638</v>
      </c>
      <c r="C76" s="274">
        <f>'Réserves 2023'!AV14</f>
        <v>0.48699835702550187</v>
      </c>
      <c r="D76" s="273">
        <f t="shared" ref="D76:D83" si="34">B62</f>
        <v>0.8004228873490965</v>
      </c>
      <c r="E76" s="330"/>
      <c r="F76" s="331"/>
      <c r="J76" s="272" t="s">
        <v>225</v>
      </c>
      <c r="K76" s="273">
        <f>'Réserves 2024'!AY$14</f>
        <v>0.55242517322665896</v>
      </c>
      <c r="L76" s="273">
        <f>'Réserves 2024'!BA$14</f>
        <v>0.55676834059575686</v>
      </c>
      <c r="M76" s="331"/>
      <c r="Q76" s="272" t="s">
        <v>225</v>
      </c>
      <c r="R76" s="275">
        <f>'Réserves 2024'!AW$14</f>
        <v>0.53439531395099638</v>
      </c>
      <c r="S76" s="276">
        <f>'Réserves 2024'!AV$14</f>
        <v>37.404999999999994</v>
      </c>
      <c r="T76" s="277">
        <f>'Réserves 2023'!AV14</f>
        <v>0.48699835702550187</v>
      </c>
      <c r="U76" s="278">
        <f>'Réserves 2023'!AU14</f>
        <v>34.087450000000004</v>
      </c>
      <c r="V76" s="277">
        <f t="shared" ref="V76:W83" si="35">R76-T76</f>
        <v>4.7396956925494504E-2</v>
      </c>
      <c r="W76" s="276">
        <f t="shared" si="35"/>
        <v>3.31754999999999</v>
      </c>
      <c r="X76" s="279">
        <f t="shared" ref="X76:Y83" si="36">R76-R62</f>
        <v>-0.26602757339810013</v>
      </c>
      <c r="Y76" s="280">
        <f t="shared" si="36"/>
        <v>-18.620600000000017</v>
      </c>
      <c r="AA76" s="272" t="s">
        <v>225</v>
      </c>
      <c r="AB76" s="275">
        <f>'Réserves 2024'!AY$14</f>
        <v>0.55242517322665896</v>
      </c>
      <c r="AC76" s="276">
        <f>'Réserves 2024'!AX$14</f>
        <v>38.666999999999994</v>
      </c>
      <c r="AD76" s="277">
        <f>'Réserves 2023'!AX14</f>
        <v>0.46664218872776619</v>
      </c>
      <c r="AE76" s="278">
        <f>'Réserves 2023'!AW14</f>
        <v>32.662619999999997</v>
      </c>
      <c r="AF76" s="277">
        <f t="shared" ref="AF76:AG83" si="37">AB76-AD76</f>
        <v>8.5782984498892767E-2</v>
      </c>
      <c r="AG76" s="276">
        <f t="shared" si="37"/>
        <v>6.0043799999999976</v>
      </c>
      <c r="AH76" s="279">
        <f t="shared" ref="AH76:AI83" si="38">AB76-R76</f>
        <v>1.8029859275662585E-2</v>
      </c>
      <c r="AI76" s="280">
        <f t="shared" si="38"/>
        <v>1.2620000000000005</v>
      </c>
      <c r="AK76" s="272" t="s">
        <v>225</v>
      </c>
      <c r="AL76" s="275">
        <f>'Réserves 2024'!BA14</f>
        <v>0.55676834059575686</v>
      </c>
      <c r="AM76" s="276">
        <f>'Réserves 2024'!AZ$14</f>
        <v>38.971000000000004</v>
      </c>
      <c r="AN76" s="277">
        <f>'Réserves 2023'!AZ14</f>
        <v>0.45943110222158723</v>
      </c>
      <c r="AO76" s="278">
        <f>'Réserves 2023'!AY14</f>
        <v>32.157879999999999</v>
      </c>
      <c r="AP76" s="277">
        <f t="shared" ref="AP76:AQ83" si="39">AL76-AN76</f>
        <v>9.7337238374169632E-2</v>
      </c>
      <c r="AQ76" s="276">
        <f t="shared" si="39"/>
        <v>6.8131200000000049</v>
      </c>
      <c r="AR76" s="279">
        <f t="shared" ref="AR76:AS83" si="40">AL76-AB76</f>
        <v>4.3431673690979E-3</v>
      </c>
      <c r="AS76" s="280">
        <f t="shared" si="40"/>
        <v>0.30400000000000915</v>
      </c>
    </row>
    <row r="77" spans="1:45">
      <c r="A77" s="281" t="s">
        <v>226</v>
      </c>
      <c r="B77" s="282">
        <f>'Réserves 2024'!AW$16</f>
        <v>0.93160377358490565</v>
      </c>
      <c r="C77" s="283">
        <f>'Réserves 2023'!AV16</f>
        <v>0.32877358490566039</v>
      </c>
      <c r="D77" s="282">
        <f t="shared" si="34"/>
        <v>0.99433962264150944</v>
      </c>
      <c r="E77" s="330"/>
      <c r="F77" s="331"/>
      <c r="J77" s="314" t="s">
        <v>226</v>
      </c>
      <c r="K77" s="315">
        <f>'Réserves 2024'!AY$16</f>
        <v>0.91698113207547161</v>
      </c>
      <c r="L77" s="315">
        <f>'Réserves 2024'!BA$16</f>
        <v>0.89056603773584908</v>
      </c>
      <c r="M77" s="331"/>
      <c r="Q77" s="281" t="s">
        <v>226</v>
      </c>
      <c r="R77" s="284">
        <f>'Réserves 2024'!AW$16</f>
        <v>0.93160377358490565</v>
      </c>
      <c r="S77" s="285">
        <f>'Réserves 2024'!AV$16</f>
        <v>19.75</v>
      </c>
      <c r="T77" s="286">
        <f>'Réserves 2023'!AV16</f>
        <v>0.32877358490566039</v>
      </c>
      <c r="U77" s="287">
        <f>'Réserves 2023'!AU16</f>
        <v>6.97</v>
      </c>
      <c r="V77" s="288">
        <f t="shared" si="35"/>
        <v>0.60283018867924532</v>
      </c>
      <c r="W77" s="289">
        <f t="shared" si="35"/>
        <v>12.780000000000001</v>
      </c>
      <c r="X77" s="290">
        <f t="shared" si="36"/>
        <v>-6.2735849056603787E-2</v>
      </c>
      <c r="Y77" s="291">
        <f t="shared" si="36"/>
        <v>-1.3299999999999983</v>
      </c>
      <c r="AA77" s="281" t="s">
        <v>226</v>
      </c>
      <c r="AB77" s="284">
        <f>'Réserves 2024'!AY$16</f>
        <v>0.91698113207547161</v>
      </c>
      <c r="AC77" s="285">
        <f>'Réserves 2024'!AX$16</f>
        <v>19.439999999999998</v>
      </c>
      <c r="AD77" s="286">
        <f>'Réserves 2023'!AX16</f>
        <v>0.23679245283018865</v>
      </c>
      <c r="AE77" s="287">
        <f>'Réserves 2023'!AW16</f>
        <v>5.0199999999999996</v>
      </c>
      <c r="AF77" s="288">
        <f t="shared" si="37"/>
        <v>0.68018867924528292</v>
      </c>
      <c r="AG77" s="289">
        <f t="shared" si="37"/>
        <v>14.419999999999998</v>
      </c>
      <c r="AH77" s="290">
        <f t="shared" si="38"/>
        <v>-1.4622641509434042E-2</v>
      </c>
      <c r="AI77" s="291">
        <f t="shared" si="38"/>
        <v>-0.31000000000000227</v>
      </c>
      <c r="AK77" s="281" t="s">
        <v>226</v>
      </c>
      <c r="AL77" s="284">
        <f>'Réserves 2024'!BA$16</f>
        <v>0.89056603773584908</v>
      </c>
      <c r="AM77" s="285">
        <f>'Réserves 2024'!AZ$16</f>
        <v>18.88</v>
      </c>
      <c r="AN77" s="286">
        <f>'Réserves 2023'!AZ16</f>
        <v>0.16933962264150942</v>
      </c>
      <c r="AO77" s="287">
        <f>'Réserves 2023'!AY16</f>
        <v>3.59</v>
      </c>
      <c r="AP77" s="288">
        <f t="shared" si="39"/>
        <v>0.72122641509433971</v>
      </c>
      <c r="AQ77" s="289">
        <f t="shared" si="39"/>
        <v>15.29</v>
      </c>
      <c r="AR77" s="290">
        <f t="shared" si="40"/>
        <v>-2.6415094339622525E-2</v>
      </c>
      <c r="AS77" s="291">
        <f t="shared" si="40"/>
        <v>-0.55999999999999872</v>
      </c>
    </row>
    <row r="78" spans="1:45">
      <c r="A78" s="272" t="s">
        <v>227</v>
      </c>
      <c r="B78" s="273">
        <f>'Réserves 2024'!AW$18</f>
        <v>0.90284455128205121</v>
      </c>
      <c r="C78" s="274">
        <f>'Réserves 2023'!AV18</f>
        <v>0.39857526501766788</v>
      </c>
      <c r="D78" s="273">
        <f t="shared" si="34"/>
        <v>0.99205308493589739</v>
      </c>
      <c r="E78" s="330"/>
      <c r="F78" s="331"/>
      <c r="J78" s="272" t="s">
        <v>227</v>
      </c>
      <c r="K78" s="273">
        <f>'Réserves 2024'!AY$18</f>
        <v>0.86137820512820507</v>
      </c>
      <c r="L78" s="273">
        <f>'Réserves 2024'!BA$18</f>
        <v>0.91806891025641024</v>
      </c>
      <c r="M78" s="331"/>
      <c r="Q78" s="272" t="s">
        <v>227</v>
      </c>
      <c r="R78" s="275">
        <f>'Réserves 2024'!AW$18</f>
        <v>0.90284455128205121</v>
      </c>
      <c r="S78" s="276">
        <f>'Réserves 2024'!AV$18</f>
        <v>4.5069999999999997</v>
      </c>
      <c r="T78" s="277">
        <f>'Réserves 2023'!AV18</f>
        <v>0.39857526501766788</v>
      </c>
      <c r="U78" s="278">
        <f>'Réserves 2023'!AU18</f>
        <v>1.9739439999999999</v>
      </c>
      <c r="V78" s="277">
        <f t="shared" si="35"/>
        <v>0.50426928626438339</v>
      </c>
      <c r="W78" s="276">
        <f t="shared" si="35"/>
        <v>2.5330559999999998</v>
      </c>
      <c r="X78" s="279">
        <f t="shared" si="36"/>
        <v>-8.9208533653846178E-2</v>
      </c>
      <c r="Y78" s="280">
        <f t="shared" si="36"/>
        <v>-0.44532900000000009</v>
      </c>
      <c r="AA78" s="272" t="s">
        <v>227</v>
      </c>
      <c r="AB78" s="275">
        <f>'Réserves 2024'!AY18</f>
        <v>0.86137820512820507</v>
      </c>
      <c r="AC78" s="276">
        <f>'Réserves 2024'!AX$18</f>
        <v>4.3</v>
      </c>
      <c r="AD78" s="277">
        <f>'Réserves 2023'!AX18</f>
        <v>0.32925754669358914</v>
      </c>
      <c r="AE78" s="278">
        <f>'Réserves 2023'!AW18</f>
        <v>1.6306480000000001</v>
      </c>
      <c r="AF78" s="277">
        <f t="shared" si="37"/>
        <v>0.53212065843461587</v>
      </c>
      <c r="AG78" s="276">
        <f t="shared" si="37"/>
        <v>2.6693519999999999</v>
      </c>
      <c r="AH78" s="279">
        <f t="shared" si="38"/>
        <v>-4.1466346153846145E-2</v>
      </c>
      <c r="AI78" s="280">
        <f t="shared" si="38"/>
        <v>-0.20699999999999985</v>
      </c>
      <c r="AK78" s="272" t="s">
        <v>227</v>
      </c>
      <c r="AL78" s="275">
        <f>'Réserves 2024'!BA18</f>
        <v>0.91806891025641024</v>
      </c>
      <c r="AM78" s="276">
        <f>'Réserves 2024'!AZ$18</f>
        <v>4.5830000000000002</v>
      </c>
      <c r="AN78" s="277">
        <f>'Réserves 2023'!AZ18</f>
        <v>0.29771468955073199</v>
      </c>
      <c r="AO78" s="278">
        <f>'Réserves 2023'!AY18</f>
        <v>1.474432</v>
      </c>
      <c r="AP78" s="277">
        <f t="shared" si="39"/>
        <v>0.62035422070567825</v>
      </c>
      <c r="AQ78" s="276">
        <f t="shared" si="39"/>
        <v>3.108568</v>
      </c>
      <c r="AR78" s="279">
        <f t="shared" si="40"/>
        <v>5.6690705128205177E-2</v>
      </c>
      <c r="AS78" s="280">
        <f t="shared" si="40"/>
        <v>0.28300000000000036</v>
      </c>
    </row>
    <row r="79" spans="1:45">
      <c r="A79" s="281" t="s">
        <v>228</v>
      </c>
      <c r="B79" s="282">
        <f>'Réserves 2024'!AW$31</f>
        <v>0.51741719930273111</v>
      </c>
      <c r="C79" s="283">
        <f>'Réserves 2023'!AV31</f>
        <v>0.43608214700755382</v>
      </c>
      <c r="D79" s="282">
        <f t="shared" si="34"/>
        <v>0.63400688553166762</v>
      </c>
      <c r="E79" s="330"/>
      <c r="F79" s="331"/>
      <c r="J79" s="314" t="s">
        <v>228</v>
      </c>
      <c r="K79" s="315">
        <f>'Réserves 2024'!AY$31</f>
        <v>0.5100522951772225</v>
      </c>
      <c r="L79" s="315">
        <f>'Réserves 2024'!BA$31</f>
        <v>0.49524259151656014</v>
      </c>
      <c r="M79" s="331"/>
      <c r="Q79" s="281" t="s">
        <v>228</v>
      </c>
      <c r="R79" s="284">
        <f>'Réserves 2024'!AW$31</f>
        <v>0.51741719930273111</v>
      </c>
      <c r="S79" s="285">
        <f>'Réserves 2024'!AV$31</f>
        <v>71.238000000000014</v>
      </c>
      <c r="T79" s="286">
        <f>'Réserves 2023'!AV31</f>
        <v>0.43608214700755382</v>
      </c>
      <c r="U79" s="287">
        <f>'Réserves 2023'!AU31</f>
        <v>60.039790000000004</v>
      </c>
      <c r="V79" s="288">
        <f t="shared" si="35"/>
        <v>8.133505229517729E-2</v>
      </c>
      <c r="W79" s="289">
        <f t="shared" si="35"/>
        <v>11.19821000000001</v>
      </c>
      <c r="X79" s="290">
        <f t="shared" si="36"/>
        <v>-0.11658968622893651</v>
      </c>
      <c r="Y79" s="291">
        <f t="shared" si="36"/>
        <v>-16.052067999999977</v>
      </c>
      <c r="AA79" s="281" t="s">
        <v>228</v>
      </c>
      <c r="AB79" s="284">
        <f>'Réserves 2024'!AY$31</f>
        <v>0.5100522951772225</v>
      </c>
      <c r="AC79" s="285">
        <f>'Réserves 2024'!AX$31</f>
        <v>70.22399999999999</v>
      </c>
      <c r="AD79" s="286">
        <f>'Réserves 2023'!AX31</f>
        <v>0.40876358221963977</v>
      </c>
      <c r="AE79" s="287">
        <f>'Réserves 2023'!AW31</f>
        <v>56.278569999999995</v>
      </c>
      <c r="AF79" s="288">
        <f t="shared" si="37"/>
        <v>0.10128871295758274</v>
      </c>
      <c r="AG79" s="289">
        <f t="shared" si="37"/>
        <v>13.945429999999995</v>
      </c>
      <c r="AH79" s="290">
        <f t="shared" si="38"/>
        <v>-7.364904125508609E-3</v>
      </c>
      <c r="AI79" s="291">
        <f t="shared" si="38"/>
        <v>-1.0140000000000242</v>
      </c>
      <c r="AK79" s="281" t="s">
        <v>228</v>
      </c>
      <c r="AL79" s="284">
        <f>'Réserves 2024'!BA$31</f>
        <v>0.49524259151656014</v>
      </c>
      <c r="AM79" s="285">
        <f>'Réserves 2024'!AZ$31</f>
        <v>68.184999999999988</v>
      </c>
      <c r="AN79" s="286">
        <f>'Réserves 2023'!AZ31</f>
        <v>0.38814095729227199</v>
      </c>
      <c r="AO79" s="287">
        <f>'Réserves 2023'!AY31</f>
        <v>53.439247000000002</v>
      </c>
      <c r="AP79" s="288">
        <f t="shared" si="39"/>
        <v>0.10710163422428814</v>
      </c>
      <c r="AQ79" s="289">
        <f t="shared" si="39"/>
        <v>14.745752999999986</v>
      </c>
      <c r="AR79" s="290">
        <f t="shared" si="40"/>
        <v>-1.4809703660662366E-2</v>
      </c>
      <c r="AS79" s="291">
        <f t="shared" si="40"/>
        <v>-2.0390000000000015</v>
      </c>
    </row>
    <row r="80" spans="1:45">
      <c r="A80" s="272" t="s">
        <v>229</v>
      </c>
      <c r="B80" s="273">
        <f>'Réserves 2024'!AW$45</f>
        <v>0.98536585365853668</v>
      </c>
      <c r="C80" s="274">
        <f>'Réserves 2023'!AV45</f>
        <v>0.80853658536585371</v>
      </c>
      <c r="D80" s="273">
        <f t="shared" si="34"/>
        <v>1.0012195121951222</v>
      </c>
      <c r="E80" s="330"/>
      <c r="F80" s="331"/>
      <c r="J80" s="272" t="s">
        <v>229</v>
      </c>
      <c r="K80" s="273">
        <f>'Réserves 2024'!AY$45</f>
        <v>0.95609756097560983</v>
      </c>
      <c r="L80" s="273">
        <f>'Réserves 2024'!BA$45</f>
        <v>0.9414634146341464</v>
      </c>
      <c r="M80" s="331"/>
      <c r="Q80" s="272" t="s">
        <v>229</v>
      </c>
      <c r="R80" s="275">
        <f>'Réserves 2024'!AW$45</f>
        <v>0.98536585365853668</v>
      </c>
      <c r="S80" s="276">
        <f>'Réserves 2024'!AV$45</f>
        <v>8.08</v>
      </c>
      <c r="T80" s="277">
        <f>'Réserves 2023'!AV45</f>
        <v>0.80853658536585371</v>
      </c>
      <c r="U80" s="292">
        <f>'Réserves 2023'!AU45</f>
        <v>6.63</v>
      </c>
      <c r="V80" s="277">
        <f t="shared" si="35"/>
        <v>0.17682926829268297</v>
      </c>
      <c r="W80" s="276">
        <f t="shared" si="35"/>
        <v>1.4500000000000002</v>
      </c>
      <c r="X80" s="279">
        <f t="shared" si="36"/>
        <v>-1.5853658536585491E-2</v>
      </c>
      <c r="Y80" s="280">
        <f t="shared" si="36"/>
        <v>-0.13000000000000078</v>
      </c>
      <c r="AA80" s="272" t="s">
        <v>229</v>
      </c>
      <c r="AB80" s="275">
        <f>'Réserves 2024'!AY$45</f>
        <v>0.95609756097560983</v>
      </c>
      <c r="AC80" s="276">
        <f>'Réserves 2024'!AX$45</f>
        <v>7.84</v>
      </c>
      <c r="AD80" s="277">
        <f>'Réserves 2023'!AX45</f>
        <v>0.76341463414634148</v>
      </c>
      <c r="AE80" s="292">
        <f>'Réserves 2023'!AW45</f>
        <v>6.26</v>
      </c>
      <c r="AF80" s="277">
        <f t="shared" si="37"/>
        <v>0.19268292682926835</v>
      </c>
      <c r="AG80" s="276">
        <f t="shared" si="37"/>
        <v>1.58</v>
      </c>
      <c r="AH80" s="279">
        <f t="shared" si="38"/>
        <v>-2.9268292682926855E-2</v>
      </c>
      <c r="AI80" s="280">
        <f t="shared" si="38"/>
        <v>-0.24000000000000021</v>
      </c>
      <c r="AK80" s="272" t="s">
        <v>229</v>
      </c>
      <c r="AL80" s="275">
        <f>'Réserves 2024'!BA$45</f>
        <v>0.9414634146341464</v>
      </c>
      <c r="AM80" s="276">
        <f>'Réserves 2024'!AZ$45</f>
        <v>7.72</v>
      </c>
      <c r="AN80" s="277">
        <f>'Réserves 2023'!AZ45</f>
        <v>0.75609756097560987</v>
      </c>
      <c r="AO80" s="292">
        <f>'Réserves 2023'!AY45</f>
        <v>6.2</v>
      </c>
      <c r="AP80" s="277">
        <f t="shared" si="39"/>
        <v>0.18536585365853653</v>
      </c>
      <c r="AQ80" s="276">
        <f t="shared" si="39"/>
        <v>1.5199999999999996</v>
      </c>
      <c r="AR80" s="279">
        <f t="shared" si="40"/>
        <v>-1.4634146341463428E-2</v>
      </c>
      <c r="AS80" s="280">
        <f t="shared" si="40"/>
        <v>-0.12000000000000011</v>
      </c>
    </row>
    <row r="81" spans="1:45">
      <c r="A81" s="281" t="s">
        <v>230</v>
      </c>
      <c r="B81" s="282">
        <f>'Réserves 2024'!AW$43</f>
        <v>0.55453825667602386</v>
      </c>
      <c r="C81" s="283">
        <f>'Réserves 2023'!AV43</f>
        <v>0.56998128553948024</v>
      </c>
      <c r="D81" s="282">
        <f t="shared" si="34"/>
        <v>0.80123083567264097</v>
      </c>
      <c r="E81" s="330"/>
      <c r="F81" s="331"/>
      <c r="J81" s="314" t="s">
        <v>230</v>
      </c>
      <c r="K81" s="315">
        <f>'Réserves 2024'!AY$43</f>
        <v>0.56113150507449794</v>
      </c>
      <c r="L81" s="315">
        <f>'Réserves 2024'!BA$43</f>
        <v>0.55828114877996105</v>
      </c>
      <c r="M81" s="331"/>
      <c r="Q81" s="281" t="s">
        <v>230</v>
      </c>
      <c r="R81" s="284">
        <f>'Réserves 2024'!AW$43</f>
        <v>0.55453825667602386</v>
      </c>
      <c r="S81" s="285">
        <f>'Réserves 2024'!AV$43</f>
        <v>38.521000000000001</v>
      </c>
      <c r="T81" s="286">
        <f>'Réserves 2023'!AV43</f>
        <v>0.56998128553948024</v>
      </c>
      <c r="U81" s="287">
        <f>'Réserves 2023'!AU43</f>
        <v>39.59375</v>
      </c>
      <c r="V81" s="288">
        <f t="shared" si="35"/>
        <v>-1.5443028863456387E-2</v>
      </c>
      <c r="W81" s="289">
        <f t="shared" si="35"/>
        <v>-1.0727499999999992</v>
      </c>
      <c r="X81" s="290">
        <f t="shared" si="36"/>
        <v>-0.24669257899661712</v>
      </c>
      <c r="Y81" s="291">
        <f t="shared" si="36"/>
        <v>-17.136500000000005</v>
      </c>
      <c r="AA81" s="281" t="s">
        <v>230</v>
      </c>
      <c r="AB81" s="284">
        <f>'Réserves 2024'!AY$43</f>
        <v>0.56113150507449794</v>
      </c>
      <c r="AC81" s="285">
        <f>'Réserves 2024'!AX$43</f>
        <v>38.978999999999999</v>
      </c>
      <c r="AD81" s="286">
        <f>'Réserves 2023'!AX43</f>
        <v>0.54274569927301519</v>
      </c>
      <c r="AE81" s="287">
        <f>'Réserves 2023'!AW43</f>
        <v>37.701830000000001</v>
      </c>
      <c r="AF81" s="288">
        <f t="shared" si="37"/>
        <v>1.8385805801482746E-2</v>
      </c>
      <c r="AG81" s="289">
        <f t="shared" si="37"/>
        <v>1.2771699999999981</v>
      </c>
      <c r="AH81" s="290">
        <f t="shared" si="38"/>
        <v>6.5932483984740831E-3</v>
      </c>
      <c r="AI81" s="291">
        <f t="shared" si="38"/>
        <v>0.45799999999999841</v>
      </c>
      <c r="AK81" s="281" t="s">
        <v>230</v>
      </c>
      <c r="AL81" s="284">
        <f>'Réserves 2024'!BA$43</f>
        <v>0.55828114877996105</v>
      </c>
      <c r="AM81" s="285">
        <f>'Réserves 2024'!AZ$43</f>
        <v>38.780999999999999</v>
      </c>
      <c r="AN81" s="286">
        <f>'Réserves 2023'!AZ43</f>
        <v>0.5268998776362197</v>
      </c>
      <c r="AO81" s="287">
        <f>'Réserves 2023'!AY43</f>
        <v>36.601100000000002</v>
      </c>
      <c r="AP81" s="288">
        <f t="shared" si="39"/>
        <v>3.1381271143741341E-2</v>
      </c>
      <c r="AQ81" s="289">
        <f t="shared" si="39"/>
        <v>2.1798999999999964</v>
      </c>
      <c r="AR81" s="290">
        <f t="shared" si="40"/>
        <v>-2.8503562945368932E-3</v>
      </c>
      <c r="AS81" s="291">
        <f t="shared" si="40"/>
        <v>-0.1980000000000004</v>
      </c>
    </row>
    <row r="82" spans="1:45">
      <c r="A82" s="272" t="s">
        <v>231</v>
      </c>
      <c r="B82" s="273">
        <f>'Réserves 2024'!AW$58</f>
        <v>0.80146009793966766</v>
      </c>
      <c r="C82" s="274">
        <f>'Réserves 2023'!AV58</f>
        <v>0.58555899585881499</v>
      </c>
      <c r="D82" s="273">
        <f t="shared" si="34"/>
        <v>0.93213503335346959</v>
      </c>
      <c r="E82" s="330"/>
      <c r="F82" s="331"/>
      <c r="J82" s="272" t="s">
        <v>231</v>
      </c>
      <c r="K82" s="273">
        <f>'Réserves 2024'!AY$58</f>
        <v>0.78754032620850067</v>
      </c>
      <c r="L82" s="273">
        <f>'Réserves 2024'!BA$58</f>
        <v>0.7666413891495184</v>
      </c>
      <c r="M82" s="331"/>
      <c r="Q82" s="272" t="s">
        <v>231</v>
      </c>
      <c r="R82" s="275">
        <f>'Réserves 2024'!AW$58</f>
        <v>0.80146009793966766</v>
      </c>
      <c r="S82" s="276">
        <f>'Réserves 2024'!AV$58</f>
        <v>62.355999999999987</v>
      </c>
      <c r="T82" s="277">
        <f>'Réserves 2023'!AV58</f>
        <v>0.58555899585881499</v>
      </c>
      <c r="U82" s="278">
        <f>'Réserves 2023'!AU58</f>
        <v>45.671844999999998</v>
      </c>
      <c r="V82" s="277">
        <f t="shared" si="35"/>
        <v>0.21590110208085267</v>
      </c>
      <c r="W82" s="276">
        <f t="shared" si="35"/>
        <v>16.68415499999999</v>
      </c>
      <c r="X82" s="279">
        <f t="shared" si="36"/>
        <v>-0.13067493541380193</v>
      </c>
      <c r="Y82" s="280">
        <f t="shared" si="36"/>
        <v>-10.166902000000029</v>
      </c>
      <c r="AA82" s="272" t="s">
        <v>231</v>
      </c>
      <c r="AB82" s="275">
        <f>'Réserves 2024'!AY$58</f>
        <v>0.78754032620850067</v>
      </c>
      <c r="AC82" s="276">
        <f>'Réserves 2024'!AX$58</f>
        <v>61.272999999999996</v>
      </c>
      <c r="AD82" s="277">
        <f>'Réserves 2023'!AX58</f>
        <v>0.55112410733746164</v>
      </c>
      <c r="AE82" s="278">
        <f>'Réserves 2023'!AW58</f>
        <v>42.986027000000007</v>
      </c>
      <c r="AF82" s="277">
        <f t="shared" si="37"/>
        <v>0.23641621887103903</v>
      </c>
      <c r="AG82" s="276">
        <f t="shared" si="37"/>
        <v>18.286972999999989</v>
      </c>
      <c r="AH82" s="279">
        <f t="shared" si="38"/>
        <v>-1.3919771731166986E-2</v>
      </c>
      <c r="AI82" s="280">
        <f t="shared" si="38"/>
        <v>-1.0829999999999913</v>
      </c>
      <c r="AK82" s="272" t="s">
        <v>231</v>
      </c>
      <c r="AL82" s="275">
        <f>'Réserves 2024'!BA$58</f>
        <v>0.7666413891495184</v>
      </c>
      <c r="AM82" s="276">
        <f>'Réserves 2024'!AZ$58</f>
        <v>59.646999999999998</v>
      </c>
      <c r="AN82" s="277">
        <f>'Réserves 2023'!AZ58</f>
        <v>0.52884455812403008</v>
      </c>
      <c r="AO82" s="278">
        <f>'Réserves 2023'!AY48</f>
        <v>12.015333999999999</v>
      </c>
      <c r="AP82" s="277">
        <f t="shared" si="39"/>
        <v>0.23779683102548832</v>
      </c>
      <c r="AQ82" s="276">
        <f t="shared" si="39"/>
        <v>47.631665999999996</v>
      </c>
      <c r="AR82" s="279">
        <f t="shared" si="40"/>
        <v>-2.089893705898227E-2</v>
      </c>
      <c r="AS82" s="280">
        <f t="shared" si="40"/>
        <v>-1.6259999999999977</v>
      </c>
    </row>
    <row r="83" spans="1:45">
      <c r="A83" s="293" t="s">
        <v>232</v>
      </c>
      <c r="B83" s="294">
        <f>'Réserves 2024'!AW$60</f>
        <v>0.62120538867556208</v>
      </c>
      <c r="C83" s="295">
        <f>'Réserves 2023'!AV60</f>
        <v>0.50057005131075416</v>
      </c>
      <c r="D83" s="294">
        <f t="shared" si="34"/>
        <v>0.78528362207353564</v>
      </c>
      <c r="F83" s="331"/>
      <c r="J83" s="141" t="s">
        <v>232</v>
      </c>
      <c r="K83" s="316">
        <f>'Réserves 2024'!AY$60</f>
        <v>0.61829272991125883</v>
      </c>
      <c r="L83" s="316">
        <f>'Réserves 2024'!BA$60</f>
        <v>0.6081318145042186</v>
      </c>
      <c r="M83" s="331"/>
      <c r="Q83" s="293" t="s">
        <v>232</v>
      </c>
      <c r="R83" s="296">
        <f>'Réserves 2024'!AW$60</f>
        <v>0.62120538867556208</v>
      </c>
      <c r="S83" s="297">
        <f>'Réserves 2024'!AV$60</f>
        <v>241.857</v>
      </c>
      <c r="T83" s="298">
        <f>'Réserves 2023'!AV60</f>
        <v>0.50057005131075416</v>
      </c>
      <c r="U83" s="299">
        <f>'Réserves 2023'!AU60</f>
        <v>194.96677899999997</v>
      </c>
      <c r="V83" s="300">
        <f t="shared" si="35"/>
        <v>0.12063533736480792</v>
      </c>
      <c r="W83" s="301">
        <f t="shared" si="35"/>
        <v>46.890221000000025</v>
      </c>
      <c r="X83" s="302">
        <f t="shared" si="36"/>
        <v>-0.16407823339797356</v>
      </c>
      <c r="Y83" s="303">
        <f t="shared" si="36"/>
        <v>-63.881399000000016</v>
      </c>
      <c r="AA83" s="293" t="s">
        <v>232</v>
      </c>
      <c r="AB83" s="296">
        <f>'Réserves 2024'!AY$60</f>
        <v>0.61829272991125883</v>
      </c>
      <c r="AC83" s="297">
        <f>'Réserves 2024'!AX$60</f>
        <v>240.72299999999998</v>
      </c>
      <c r="AD83" s="298">
        <f>'Réserves 2023'!AX60</f>
        <v>0.46866396911855146</v>
      </c>
      <c r="AE83" s="299">
        <f>'Réserves 2023'!AW60</f>
        <v>182.53969500000002</v>
      </c>
      <c r="AF83" s="300">
        <f t="shared" si="37"/>
        <v>0.14962876079270737</v>
      </c>
      <c r="AG83" s="301">
        <f t="shared" si="37"/>
        <v>58.183304999999962</v>
      </c>
      <c r="AH83" s="302">
        <f t="shared" si="38"/>
        <v>-2.9126587643032442E-3</v>
      </c>
      <c r="AI83" s="303">
        <f t="shared" si="38"/>
        <v>-1.1340000000000146</v>
      </c>
      <c r="AK83" s="293" t="s">
        <v>232</v>
      </c>
      <c r="AL83" s="296">
        <f>'Réserves 2024'!BA$60</f>
        <v>0.6081318145042186</v>
      </c>
      <c r="AM83" s="297">
        <f>'Réserves 2024'!AZ$60</f>
        <v>236.76699999999997</v>
      </c>
      <c r="AN83" s="298">
        <f>'Réserves 2023'!AZ60</f>
        <v>0.44856394845047176</v>
      </c>
      <c r="AO83" s="299">
        <f>'Réserves 2023'!AY60</f>
        <v>174.710948</v>
      </c>
      <c r="AP83" s="300">
        <f t="shared" si="39"/>
        <v>0.15956786605374684</v>
      </c>
      <c r="AQ83" s="301">
        <f t="shared" si="39"/>
        <v>62.056051999999966</v>
      </c>
      <c r="AR83" s="302">
        <f t="shared" si="40"/>
        <v>-1.0160915407040227E-2</v>
      </c>
      <c r="AS83" s="303">
        <f t="shared" si="40"/>
        <v>-3.9560000000000173</v>
      </c>
    </row>
    <row r="84" spans="1:45">
      <c r="F84" s="328"/>
      <c r="M84" s="328"/>
      <c r="P84" s="329"/>
      <c r="AE84" s="264"/>
      <c r="AO84" s="264"/>
    </row>
    <row r="85" spans="1:45">
      <c r="A85" s="293" t="s">
        <v>233</v>
      </c>
      <c r="B85" s="317">
        <f>'Réserves 2024'!AW$73</f>
        <v>0.73245391585266928</v>
      </c>
      <c r="C85" s="318">
        <f>'Réserves 2023'!AV73</f>
        <v>0.48281310694937291</v>
      </c>
      <c r="D85" s="318">
        <f>B71</f>
        <v>0.935023942508869</v>
      </c>
      <c r="F85" s="328"/>
      <c r="J85" s="319" t="s">
        <v>233</v>
      </c>
      <c r="K85" s="320">
        <f>'Réserves 2024'!AY$73</f>
        <v>0.71821622143458042</v>
      </c>
      <c r="L85" s="320">
        <f>'Réserves 2024'!BA$73</f>
        <v>0.72515608982010671</v>
      </c>
      <c r="M85" s="328"/>
      <c r="P85" s="329"/>
      <c r="Q85" s="293" t="s">
        <v>233</v>
      </c>
      <c r="R85" s="317">
        <f>'Réserves 2024'!AW$73</f>
        <v>0.73245391585266928</v>
      </c>
      <c r="S85" s="297">
        <f>'Réserves 2024'!AV$73</f>
        <v>105.65428</v>
      </c>
      <c r="T85" s="298">
        <f>'Réserves 2023'!AV73</f>
        <v>0.48281310694937291</v>
      </c>
      <c r="U85" s="299">
        <f>'Réserves 2023'!AU73</f>
        <v>76.465042999999994</v>
      </c>
      <c r="V85" s="300">
        <f>R85-T85</f>
        <v>0.24964080890329637</v>
      </c>
      <c r="W85" s="301">
        <f>S85-U85</f>
        <v>29.189237000000006</v>
      </c>
      <c r="X85" s="302">
        <f>R85-R71</f>
        <v>-0.20257002665619972</v>
      </c>
      <c r="Y85" s="303">
        <f>S85-S71</f>
        <v>2.8670979999999986</v>
      </c>
      <c r="AA85" s="293" t="s">
        <v>233</v>
      </c>
      <c r="AB85" s="317">
        <f>'Réserves 2024'!AY$73</f>
        <v>0.71821622143458042</v>
      </c>
      <c r="AC85" s="297">
        <f>'Réserves 2024'!AX$73</f>
        <v>104.15428</v>
      </c>
      <c r="AD85" s="298">
        <f>'Réserves 2023'!AX73</f>
        <v>0.42709188826734645</v>
      </c>
      <c r="AE85" s="299">
        <f>'Réserves 2023'!AW73</f>
        <v>70.699937000000006</v>
      </c>
      <c r="AF85" s="300">
        <f>AB85-AD85</f>
        <v>0.29112433316723396</v>
      </c>
      <c r="AG85" s="301">
        <f>AC85-AE85</f>
        <v>33.454342999999994</v>
      </c>
      <c r="AH85" s="302">
        <f>AB85-R85</f>
        <v>-1.4237694418088864E-2</v>
      </c>
      <c r="AI85" s="303">
        <f>AC85-S85</f>
        <v>-1.5</v>
      </c>
      <c r="AK85" s="293" t="s">
        <v>233</v>
      </c>
      <c r="AL85" s="317">
        <f>'Réserves 2024'!BA$73</f>
        <v>0.72515608982010671</v>
      </c>
      <c r="AM85" s="297">
        <f>'Réserves 2024'!AZ$73</f>
        <v>103.27527999999998</v>
      </c>
      <c r="AN85" s="298">
        <f>'Réserves 2023'!AZ70</f>
        <v>0.35683377358490564</v>
      </c>
      <c r="AO85" s="299">
        <f>'Réserves 2023'!AY70</f>
        <v>18.912189999999999</v>
      </c>
      <c r="AP85" s="300">
        <f>AL85-AN85</f>
        <v>0.36832231623520106</v>
      </c>
      <c r="AQ85" s="301">
        <f>AM85-AO85</f>
        <v>84.363089999999985</v>
      </c>
      <c r="AR85" s="302">
        <f>AL85-AB85</f>
        <v>6.9398683855262933E-3</v>
      </c>
      <c r="AS85" s="303">
        <f>AM85-AM71</f>
        <v>8.6742799999999818</v>
      </c>
    </row>
    <row r="86" spans="1:45">
      <c r="F86" s="264"/>
      <c r="M86" s="264"/>
    </row>
    <row r="87" spans="1:45">
      <c r="A87" s="73" t="s">
        <v>212</v>
      </c>
    </row>
    <row r="88" spans="1:45">
      <c r="R88" s="419" t="s">
        <v>403</v>
      </c>
      <c r="S88" s="419"/>
      <c r="T88" s="416" t="s">
        <v>263</v>
      </c>
      <c r="U88" s="416"/>
      <c r="V88" s="417" t="s">
        <v>404</v>
      </c>
      <c r="W88" s="417"/>
      <c r="X88" s="418" t="s">
        <v>405</v>
      </c>
      <c r="Y88" s="418"/>
      <c r="AB88" s="419" t="s">
        <v>406</v>
      </c>
      <c r="AC88" s="419"/>
      <c r="AD88" s="416" t="s">
        <v>264</v>
      </c>
      <c r="AE88" s="416"/>
      <c r="AF88" s="417" t="s">
        <v>407</v>
      </c>
      <c r="AG88" s="417"/>
      <c r="AH88" s="418" t="s">
        <v>408</v>
      </c>
      <c r="AI88" s="418"/>
      <c r="AL88" s="419" t="s">
        <v>409</v>
      </c>
      <c r="AM88" s="419"/>
      <c r="AN88" s="416" t="s">
        <v>265</v>
      </c>
      <c r="AO88" s="416"/>
      <c r="AP88" s="417" t="s">
        <v>410</v>
      </c>
      <c r="AQ88" s="417"/>
      <c r="AR88" s="424" t="s">
        <v>411</v>
      </c>
      <c r="AS88" s="424"/>
    </row>
    <row r="89" spans="1:45" ht="39">
      <c r="A89" s="265" t="s">
        <v>218</v>
      </c>
      <c r="B89" s="266" t="s">
        <v>363</v>
      </c>
      <c r="C89" s="265" t="s">
        <v>266</v>
      </c>
      <c r="D89" s="266" t="s">
        <v>362</v>
      </c>
      <c r="F89" s="262"/>
      <c r="J89" s="311" t="s">
        <v>241</v>
      </c>
      <c r="K89" s="312" t="s">
        <v>267</v>
      </c>
      <c r="L89" s="312" t="s">
        <v>268</v>
      </c>
      <c r="M89" s="262"/>
      <c r="Q89" s="265" t="s">
        <v>218</v>
      </c>
      <c r="R89" s="268" t="s">
        <v>221</v>
      </c>
      <c r="S89" s="268" t="s">
        <v>222</v>
      </c>
      <c r="T89" s="269" t="s">
        <v>221</v>
      </c>
      <c r="U89" s="269" t="s">
        <v>222</v>
      </c>
      <c r="V89" s="270" t="s">
        <v>223</v>
      </c>
      <c r="W89" s="270" t="s">
        <v>224</v>
      </c>
      <c r="X89" s="271" t="s">
        <v>223</v>
      </c>
      <c r="Y89" s="271" t="s">
        <v>224</v>
      </c>
      <c r="AA89" s="265" t="s">
        <v>218</v>
      </c>
      <c r="AB89" s="268" t="s">
        <v>221</v>
      </c>
      <c r="AC89" s="268" t="s">
        <v>222</v>
      </c>
      <c r="AD89" s="269" t="s">
        <v>221</v>
      </c>
      <c r="AE89" s="269" t="s">
        <v>222</v>
      </c>
      <c r="AF89" s="270" t="s">
        <v>223</v>
      </c>
      <c r="AG89" s="270" t="s">
        <v>224</v>
      </c>
      <c r="AH89" s="271" t="s">
        <v>223</v>
      </c>
      <c r="AI89" s="271" t="s">
        <v>224</v>
      </c>
      <c r="AK89" s="265" t="s">
        <v>218</v>
      </c>
      <c r="AL89" s="268" t="s">
        <v>221</v>
      </c>
      <c r="AM89" s="268" t="s">
        <v>222</v>
      </c>
      <c r="AN89" s="269" t="s">
        <v>221</v>
      </c>
      <c r="AO89" s="269" t="s">
        <v>222</v>
      </c>
      <c r="AP89" s="270" t="s">
        <v>223</v>
      </c>
      <c r="AQ89" s="270" t="s">
        <v>224</v>
      </c>
      <c r="AR89" s="271" t="s">
        <v>223</v>
      </c>
      <c r="AS89" s="271" t="s">
        <v>224</v>
      </c>
    </row>
    <row r="90" spans="1:45">
      <c r="A90" s="272" t="s">
        <v>225</v>
      </c>
      <c r="B90" s="273">
        <f>'Réserves 2024'!BC$14</f>
        <v>0.56118294163868843</v>
      </c>
      <c r="C90" s="274">
        <f>'Réserves 2023'!BB14</f>
        <v>0.45057104078862764</v>
      </c>
      <c r="D90" s="273">
        <f t="shared" ref="D90:D97" si="41">B76</f>
        <v>0.53439531395099638</v>
      </c>
      <c r="E90" s="330"/>
      <c r="F90" s="331"/>
      <c r="J90" s="272" t="s">
        <v>225</v>
      </c>
      <c r="K90" s="273">
        <f>'Réserves 2024'!BE$14</f>
        <v>0.58052718051289365</v>
      </c>
      <c r="L90" s="273">
        <f>'Réserves 2024'!BE$14</f>
        <v>0.58052718051289365</v>
      </c>
      <c r="M90" s="331"/>
      <c r="Q90" s="272" t="s">
        <v>225</v>
      </c>
      <c r="R90" s="275">
        <f>'Réserves 2024'!BC$14</f>
        <v>0.56118294163868843</v>
      </c>
      <c r="S90" s="276">
        <f>'Réserves 2024'!BB$14</f>
        <v>39.28</v>
      </c>
      <c r="T90" s="277">
        <f>'Réserves 2023'!BB14</f>
        <v>0.45057104078862764</v>
      </c>
      <c r="U90" s="278">
        <f>'Réserves 2023'!BA14</f>
        <v>31.537719999999993</v>
      </c>
      <c r="V90" s="277">
        <f t="shared" ref="V90:W97" si="42">R90-T90</f>
        <v>0.11061190085006078</v>
      </c>
      <c r="W90" s="276">
        <f t="shared" si="42"/>
        <v>7.742280000000008</v>
      </c>
      <c r="X90" s="279">
        <f t="shared" ref="X90:Y97" si="43">R90-R76</f>
        <v>2.678762768769205E-2</v>
      </c>
      <c r="Y90" s="280">
        <f t="shared" si="43"/>
        <v>1.8750000000000071</v>
      </c>
      <c r="AA90" s="272" t="s">
        <v>225</v>
      </c>
      <c r="AB90" s="275">
        <f>'Réserves 2024'!BE$14</f>
        <v>0.58052718051289365</v>
      </c>
      <c r="AC90" s="276">
        <f>'Réserves 2024'!BD$14</f>
        <v>40.633999999999993</v>
      </c>
      <c r="AD90" s="277">
        <f>'Réserves 2023'!BD14</f>
        <v>0.43742610186441888</v>
      </c>
      <c r="AE90" s="278">
        <f>'Réserves 2023'!BC14</f>
        <v>30.617640000000002</v>
      </c>
      <c r="AF90" s="277">
        <f t="shared" ref="AF90:AG97" si="44">AB90-AD90</f>
        <v>0.14310107864847477</v>
      </c>
      <c r="AG90" s="276">
        <f t="shared" si="44"/>
        <v>10.016359999999992</v>
      </c>
      <c r="AH90" s="279">
        <f t="shared" ref="AH90:AI97" si="45">AB90-R90</f>
        <v>1.9344238874205222E-2</v>
      </c>
      <c r="AI90" s="280">
        <f t="shared" si="45"/>
        <v>1.3539999999999921</v>
      </c>
      <c r="AK90" s="272" t="s">
        <v>225</v>
      </c>
      <c r="AL90" s="275">
        <f>'Réserves 2024'!BG14</f>
        <v>0.66696192585184644</v>
      </c>
      <c r="AM90" s="276">
        <f>'Réserves 2024'!BF$14</f>
        <v>46.683999999999997</v>
      </c>
      <c r="AN90" s="277">
        <f>'Réserves 2023'!BF14</f>
        <v>0.42985927566254734</v>
      </c>
      <c r="AO90" s="278">
        <f>'Réserves 2023'!BE14</f>
        <v>30.088000000000001</v>
      </c>
      <c r="AP90" s="277">
        <f t="shared" ref="AP90:AQ97" si="46">AL90-AN90</f>
        <v>0.2371026501892991</v>
      </c>
      <c r="AQ90" s="276">
        <f t="shared" si="46"/>
        <v>16.595999999999997</v>
      </c>
      <c r="AR90" s="279">
        <f t="shared" ref="AR90:AS97" si="47">AL90-AB90</f>
        <v>8.643474533895279E-2</v>
      </c>
      <c r="AS90" s="280">
        <f t="shared" si="47"/>
        <v>6.0500000000000043</v>
      </c>
    </row>
    <row r="91" spans="1:45">
      <c r="A91" s="281" t="s">
        <v>226</v>
      </c>
      <c r="B91" s="282">
        <f>'Réserves 2024'!BC$16</f>
        <v>0.85613207547169812</v>
      </c>
      <c r="C91" s="283">
        <f>'Réserves 2023'!BB16</f>
        <v>0.12924528301886795</v>
      </c>
      <c r="D91" s="282">
        <f t="shared" si="41"/>
        <v>0.93160377358490565</v>
      </c>
      <c r="E91" s="330"/>
      <c r="F91" s="331"/>
      <c r="J91" s="314" t="s">
        <v>226</v>
      </c>
      <c r="K91" s="315">
        <f>'Réserves 2024'!BE$16</f>
        <v>0.9023584905660379</v>
      </c>
      <c r="L91" s="315">
        <f>'Réserves 2024'!BG$16</f>
        <v>0.9023584905660379</v>
      </c>
      <c r="M91" s="331"/>
      <c r="Q91" s="281" t="s">
        <v>226</v>
      </c>
      <c r="R91" s="284">
        <f>'Réserves 2024'!BC$16</f>
        <v>0.85613207547169812</v>
      </c>
      <c r="S91" s="285">
        <f>'Réserves 2024'!BB$16</f>
        <v>18.149999999999999</v>
      </c>
      <c r="T91" s="286">
        <f>'Réserves 2023'!BB16</f>
        <v>0.12924528301886795</v>
      </c>
      <c r="U91" s="287">
        <f>'Réserves 2023'!BA16</f>
        <v>2.74</v>
      </c>
      <c r="V91" s="288">
        <f t="shared" si="42"/>
        <v>0.72688679245283017</v>
      </c>
      <c r="W91" s="289">
        <f t="shared" si="42"/>
        <v>15.409999999999998</v>
      </c>
      <c r="X91" s="290">
        <f t="shared" si="43"/>
        <v>-7.547169811320753E-2</v>
      </c>
      <c r="Y91" s="291">
        <f t="shared" si="43"/>
        <v>-1.6000000000000014</v>
      </c>
      <c r="AA91" s="281" t="s">
        <v>226</v>
      </c>
      <c r="AB91" s="284">
        <f>'Réserves 2024'!BE$16</f>
        <v>0.9023584905660379</v>
      </c>
      <c r="AC91" s="285">
        <f>'Réserves 2024'!BD$16</f>
        <v>19.130000000000003</v>
      </c>
      <c r="AD91" s="286">
        <f>'Réserves 2023'!BD16</f>
        <v>0.10188679245283019</v>
      </c>
      <c r="AE91" s="287">
        <f>'Réserves 2023'!BC16</f>
        <v>2.16</v>
      </c>
      <c r="AF91" s="288">
        <f t="shared" si="44"/>
        <v>0.80047169811320773</v>
      </c>
      <c r="AG91" s="289">
        <f t="shared" si="44"/>
        <v>16.970000000000002</v>
      </c>
      <c r="AH91" s="290">
        <f t="shared" si="45"/>
        <v>4.6226415094339779E-2</v>
      </c>
      <c r="AI91" s="291">
        <f t="shared" si="45"/>
        <v>0.98000000000000398</v>
      </c>
      <c r="AK91" s="281" t="s">
        <v>226</v>
      </c>
      <c r="AL91" s="284">
        <f>'Réserves 2024'!BG$16</f>
        <v>0.9023584905660379</v>
      </c>
      <c r="AM91" s="284">
        <f>'Réserves 2024'!BF$16</f>
        <v>19.130000000000003</v>
      </c>
      <c r="AN91" s="286">
        <f>'Réserves 2023'!BF16</f>
        <v>8.3490566037735858E-2</v>
      </c>
      <c r="AO91" s="287">
        <f>'Réserves 2023'!BE16</f>
        <v>1.77</v>
      </c>
      <c r="AP91" s="288">
        <f t="shared" si="46"/>
        <v>0.81886792452830204</v>
      </c>
      <c r="AQ91" s="289">
        <f t="shared" si="46"/>
        <v>17.360000000000003</v>
      </c>
      <c r="AR91" s="290">
        <f t="shared" si="47"/>
        <v>0</v>
      </c>
      <c r="AS91" s="291">
        <f t="shared" si="47"/>
        <v>0</v>
      </c>
    </row>
    <row r="92" spans="1:45">
      <c r="A92" s="272" t="s">
        <v>227</v>
      </c>
      <c r="B92" s="273">
        <f>'Réserves 2024'!BC$18</f>
        <v>0.9517227564102565</v>
      </c>
      <c r="C92" s="274">
        <f>'Réserves 2023'!BB18</f>
        <v>0.29247935386168605</v>
      </c>
      <c r="D92" s="273">
        <f t="shared" si="41"/>
        <v>0.90284455128205121</v>
      </c>
      <c r="E92" s="330"/>
      <c r="F92" s="331"/>
      <c r="J92" s="272" t="s">
        <v>227</v>
      </c>
      <c r="K92" s="273">
        <f>'Réserves 2024'!AY$18</f>
        <v>0.86137820512820507</v>
      </c>
      <c r="L92" s="273">
        <f>'Réserves 2024'!BG$18</f>
        <v>1.0047285657051281</v>
      </c>
      <c r="M92" s="331"/>
      <c r="Q92" s="272" t="s">
        <v>227</v>
      </c>
      <c r="R92" s="275">
        <f>'Réserves 2024'!BC$18</f>
        <v>0.9517227564102565</v>
      </c>
      <c r="S92" s="276">
        <f>'Réserves 2024'!BB$18</f>
        <v>4.7510000000000003</v>
      </c>
      <c r="T92" s="277">
        <f>'Réserves 2023'!BB18</f>
        <v>0.29247935386168605</v>
      </c>
      <c r="U92" s="278">
        <f>'Réserves 2023'!BA18</f>
        <v>1.448504</v>
      </c>
      <c r="V92" s="277">
        <f t="shared" si="42"/>
        <v>0.6592434025485705</v>
      </c>
      <c r="W92" s="276">
        <f t="shared" si="42"/>
        <v>3.3024960000000005</v>
      </c>
      <c r="X92" s="279">
        <f t="shared" si="43"/>
        <v>4.8878205128205288E-2</v>
      </c>
      <c r="Y92" s="280">
        <f t="shared" si="43"/>
        <v>0.24400000000000066</v>
      </c>
      <c r="AA92" s="272" t="s">
        <v>227</v>
      </c>
      <c r="AB92" s="275">
        <f>'Réserves 2024'!BE$18</f>
        <v>0.99114102564102569</v>
      </c>
      <c r="AC92" s="276">
        <f>'Réserves 2024'!BD$18</f>
        <v>4.9477760000000002</v>
      </c>
      <c r="AD92" s="277">
        <f>'Réserves 2023'!BD18</f>
        <v>0.27440848056537104</v>
      </c>
      <c r="AE92" s="278">
        <f>'Réserves 2023'!BC18</f>
        <v>1.359008</v>
      </c>
      <c r="AF92" s="277">
        <f t="shared" si="44"/>
        <v>0.71673254507565465</v>
      </c>
      <c r="AG92" s="276">
        <f t="shared" si="44"/>
        <v>3.588768</v>
      </c>
      <c r="AH92" s="279">
        <f t="shared" si="45"/>
        <v>3.9418269230769187E-2</v>
      </c>
      <c r="AI92" s="280">
        <f t="shared" si="45"/>
        <v>0.19677599999999984</v>
      </c>
      <c r="AK92" s="272" t="s">
        <v>227</v>
      </c>
      <c r="AL92" s="275">
        <f>'Réserves 2024'!BG31</f>
        <v>0.46905142359093555</v>
      </c>
      <c r="AM92" s="276">
        <f>'Réserves 2024'!BF$31</f>
        <v>64.578999999999994</v>
      </c>
      <c r="AN92" s="277">
        <f>'Réserves 2023'!BF18</f>
        <v>0.22211004543160023</v>
      </c>
      <c r="AO92" s="278">
        <f>'Réserves 2023'!BE18</f>
        <v>1.1000000000000001</v>
      </c>
      <c r="AP92" s="277">
        <f t="shared" si="46"/>
        <v>0.24694137815933531</v>
      </c>
      <c r="AQ92" s="276">
        <f t="shared" si="46"/>
        <v>63.478999999999992</v>
      </c>
      <c r="AR92" s="279">
        <f t="shared" si="47"/>
        <v>-0.52208960205009014</v>
      </c>
      <c r="AS92" s="280">
        <f t="shared" si="47"/>
        <v>59.631223999999996</v>
      </c>
    </row>
    <row r="93" spans="1:45">
      <c r="A93" s="281" t="s">
        <v>228</v>
      </c>
      <c r="B93" s="282">
        <f>'Réserves 2024'!BC$31</f>
        <v>0.47977193492155734</v>
      </c>
      <c r="C93" s="283">
        <f>'Réserves 2023'!BB31</f>
        <v>0.36061780331202792</v>
      </c>
      <c r="D93" s="282">
        <f t="shared" si="41"/>
        <v>0.51741719930273111</v>
      </c>
      <c r="E93" s="330"/>
      <c r="F93" s="331"/>
      <c r="J93" s="314" t="s">
        <v>228</v>
      </c>
      <c r="K93" s="315">
        <f>'Réserves 2024'!BE$31</f>
        <v>0.46555055200464862</v>
      </c>
      <c r="L93" s="315">
        <f>'Réserves 2024'!BG$31</f>
        <v>0.46905142359093555</v>
      </c>
      <c r="M93" s="331"/>
      <c r="Q93" s="281" t="s">
        <v>228</v>
      </c>
      <c r="R93" s="284">
        <f>'Réserves 2024'!BC$31</f>
        <v>0.47977193492155734</v>
      </c>
      <c r="S93" s="285">
        <f>'Réserves 2024'!BB$31</f>
        <v>66.055000000000007</v>
      </c>
      <c r="T93" s="286">
        <f>'Réserves 2023'!BB31</f>
        <v>0.36061780331202792</v>
      </c>
      <c r="U93" s="287">
        <f>'Réserves 2023'!BA31</f>
        <v>49.649859159999998</v>
      </c>
      <c r="V93" s="288">
        <f t="shared" si="42"/>
        <v>0.11915413160952942</v>
      </c>
      <c r="W93" s="289">
        <f t="shared" si="42"/>
        <v>16.405140840000008</v>
      </c>
      <c r="X93" s="290">
        <f t="shared" si="43"/>
        <v>-3.7645264381173771E-2</v>
      </c>
      <c r="Y93" s="291">
        <f t="shared" si="43"/>
        <v>-5.1830000000000069</v>
      </c>
      <c r="AA93" s="281" t="s">
        <v>228</v>
      </c>
      <c r="AB93" s="284">
        <f>'Réserves 2024'!BE$31</f>
        <v>0.46555055200464862</v>
      </c>
      <c r="AC93" s="285">
        <f>'Réserves 2024'!BD$31</f>
        <v>64.097000000000008</v>
      </c>
      <c r="AD93" s="286">
        <f>'Réserves 2023'!BD31</f>
        <v>0.33538111744625221</v>
      </c>
      <c r="AE93" s="287">
        <f>'Réserves 2023'!BC31</f>
        <v>46.175272249999999</v>
      </c>
      <c r="AF93" s="288">
        <f t="shared" si="44"/>
        <v>0.13016943455839641</v>
      </c>
      <c r="AG93" s="289">
        <f t="shared" si="44"/>
        <v>17.921727750000009</v>
      </c>
      <c r="AH93" s="290">
        <f t="shared" si="45"/>
        <v>-1.422138291690872E-2</v>
      </c>
      <c r="AI93" s="291">
        <f t="shared" si="45"/>
        <v>-1.9579999999999984</v>
      </c>
      <c r="AK93" s="281" t="s">
        <v>228</v>
      </c>
      <c r="AL93" s="284">
        <f>'Réserves 2024'!BG$31</f>
        <v>0.46905142359093555</v>
      </c>
      <c r="AM93" s="285">
        <f>'Réserves 2024'!BF$31</f>
        <v>64.578999999999994</v>
      </c>
      <c r="AN93" s="286">
        <f>'Réserves 2023'!BF31</f>
        <v>0.31277309703660672</v>
      </c>
      <c r="AO93" s="287">
        <f>'Réserves 2023'!BE31</f>
        <v>43.062600000000003</v>
      </c>
      <c r="AP93" s="288">
        <f t="shared" si="46"/>
        <v>0.15627832655432883</v>
      </c>
      <c r="AQ93" s="289">
        <f t="shared" si="46"/>
        <v>21.51639999999999</v>
      </c>
      <c r="AR93" s="290">
        <f t="shared" si="47"/>
        <v>3.5008715862869244E-3</v>
      </c>
      <c r="AS93" s="291">
        <f t="shared" si="47"/>
        <v>0.48199999999998511</v>
      </c>
    </row>
    <row r="94" spans="1:45">
      <c r="A94" s="272" t="s">
        <v>229</v>
      </c>
      <c r="B94" s="273">
        <f>'Réserves 2024'!BC$45</f>
        <v>0.93048780487804883</v>
      </c>
      <c r="C94" s="274">
        <f>'Réserves 2023'!BB45</f>
        <v>0.75000000000000011</v>
      </c>
      <c r="D94" s="273">
        <f t="shared" si="41"/>
        <v>0.98536585365853668</v>
      </c>
      <c r="E94" s="330"/>
      <c r="F94" s="331"/>
      <c r="J94" s="272" t="s">
        <v>229</v>
      </c>
      <c r="K94" s="273">
        <f>'Réserves 2024'!BE$45</f>
        <v>0.97317073170731716</v>
      </c>
      <c r="L94" s="273">
        <f>'Réserves 2024'!BG$45</f>
        <v>1</v>
      </c>
      <c r="M94" s="331"/>
      <c r="Q94" s="272" t="s">
        <v>229</v>
      </c>
      <c r="R94" s="275">
        <f>'Réserves 2024'!BC$45</f>
        <v>0.93048780487804883</v>
      </c>
      <c r="S94" s="276">
        <f>'Réserves 2024'!BB$45</f>
        <v>7.63</v>
      </c>
      <c r="T94" s="277">
        <f>'Réserves 2023'!BB45</f>
        <v>0.75000000000000011</v>
      </c>
      <c r="U94" s="292">
        <f>'Réserves 2023'!BA45</f>
        <v>6.15</v>
      </c>
      <c r="V94" s="277">
        <f t="shared" si="42"/>
        <v>0.18048780487804872</v>
      </c>
      <c r="W94" s="276">
        <f t="shared" si="42"/>
        <v>1.4799999999999995</v>
      </c>
      <c r="X94" s="279">
        <f t="shared" si="43"/>
        <v>-5.4878048780487854E-2</v>
      </c>
      <c r="Y94" s="280">
        <f t="shared" si="43"/>
        <v>-0.45000000000000018</v>
      </c>
      <c r="AA94" s="272" t="s">
        <v>229</v>
      </c>
      <c r="AB94" s="275">
        <f>'Réserves 2024'!BE$45</f>
        <v>0.97317073170731716</v>
      </c>
      <c r="AC94" s="276">
        <f>'Réserves 2024'!BD$45</f>
        <v>7.98</v>
      </c>
      <c r="AD94" s="277">
        <f>'Réserves 2023'!BD45</f>
        <v>0.71341463414634143</v>
      </c>
      <c r="AE94" s="292">
        <f>'Réserves 2023'!BC45</f>
        <v>5.85</v>
      </c>
      <c r="AF94" s="277">
        <f t="shared" si="44"/>
        <v>0.25975609756097573</v>
      </c>
      <c r="AG94" s="276">
        <f t="shared" si="44"/>
        <v>2.1300000000000008</v>
      </c>
      <c r="AH94" s="279">
        <f t="shared" si="45"/>
        <v>4.2682926829268331E-2</v>
      </c>
      <c r="AI94" s="280">
        <f t="shared" si="45"/>
        <v>0.35000000000000053</v>
      </c>
      <c r="AK94" s="272" t="s">
        <v>229</v>
      </c>
      <c r="AL94" s="275">
        <f>'Réserves 2024'!BG$45</f>
        <v>1</v>
      </c>
      <c r="AM94" s="276">
        <f>'Réserves 2024'!BF$45</f>
        <v>8.1999999999999993</v>
      </c>
      <c r="AN94" s="277">
        <f>'Réserves 2023'!BF45</f>
        <v>0.69512195121951226</v>
      </c>
      <c r="AO94" s="292">
        <f>'Réserves 2023'!BE45</f>
        <v>5.7</v>
      </c>
      <c r="AP94" s="277">
        <f t="shared" si="46"/>
        <v>0.30487804878048774</v>
      </c>
      <c r="AQ94" s="276">
        <f t="shared" si="46"/>
        <v>2.4999999999999991</v>
      </c>
      <c r="AR94" s="279">
        <f t="shared" si="47"/>
        <v>2.682926829268284E-2</v>
      </c>
      <c r="AS94" s="280">
        <f t="shared" si="47"/>
        <v>0.21999999999999886</v>
      </c>
    </row>
    <row r="95" spans="1:45">
      <c r="A95" s="281" t="s">
        <v>230</v>
      </c>
      <c r="B95" s="282">
        <f>'Réserves 2024'!BC$43</f>
        <v>0.55630893255596348</v>
      </c>
      <c r="C95" s="283">
        <f>'Réserves 2023'!BB43</f>
        <v>0.49463082127690211</v>
      </c>
      <c r="D95" s="282">
        <f t="shared" si="41"/>
        <v>0.55453825667602386</v>
      </c>
      <c r="E95" s="330"/>
      <c r="F95" s="331"/>
      <c r="J95" s="314" t="s">
        <v>230</v>
      </c>
      <c r="K95" s="315">
        <f>'Réserves 2024'!BE$43</f>
        <v>0.56058446699776854</v>
      </c>
      <c r="L95" s="315">
        <f>'Réserves 2024'!BG$43</f>
        <v>0.60947239617073334</v>
      </c>
      <c r="M95" s="331"/>
      <c r="Q95" s="281" t="s">
        <v>230</v>
      </c>
      <c r="R95" s="284">
        <f>'Réserves 2024'!BC$43</f>
        <v>0.55630893255596348</v>
      </c>
      <c r="S95" s="285">
        <f>'Réserves 2024'!BB$43</f>
        <v>38.644000000000005</v>
      </c>
      <c r="T95" s="286">
        <f>'Réserves 2023'!BB43</f>
        <v>0.49463082127690211</v>
      </c>
      <c r="U95" s="287">
        <f>'Réserves 2023'!BA43</f>
        <v>34.359530000000007</v>
      </c>
      <c r="V95" s="288">
        <f t="shared" si="42"/>
        <v>6.1678111279061365E-2</v>
      </c>
      <c r="W95" s="289">
        <f t="shared" si="42"/>
        <v>4.2844699999999989</v>
      </c>
      <c r="X95" s="290">
        <f t="shared" si="43"/>
        <v>1.7706758799396205E-3</v>
      </c>
      <c r="Y95" s="291">
        <f t="shared" si="43"/>
        <v>0.12300000000000466</v>
      </c>
      <c r="AA95" s="281" t="s">
        <v>230</v>
      </c>
      <c r="AB95" s="284">
        <f>'Réserves 2024'!BE$43</f>
        <v>0.56058446699776854</v>
      </c>
      <c r="AC95" s="285">
        <f>'Réserves 2024'!BD$43</f>
        <v>38.940999999999995</v>
      </c>
      <c r="AD95" s="286">
        <f>'Réserves 2023'!BD43</f>
        <v>0.46686388828906644</v>
      </c>
      <c r="AE95" s="287">
        <f>'Réserves 2023'!BC43</f>
        <v>32.430700000000002</v>
      </c>
      <c r="AF95" s="288">
        <f t="shared" si="44"/>
        <v>9.3720578708702096E-2</v>
      </c>
      <c r="AG95" s="289">
        <f t="shared" si="44"/>
        <v>6.5102999999999938</v>
      </c>
      <c r="AH95" s="290">
        <f t="shared" si="45"/>
        <v>4.2755344418050623E-3</v>
      </c>
      <c r="AI95" s="291">
        <f t="shared" si="45"/>
        <v>0.29699999999998994</v>
      </c>
      <c r="AK95" s="281" t="s">
        <v>230</v>
      </c>
      <c r="AL95" s="284">
        <f>'Réserves 2024'!BG$43</f>
        <v>0.60947239617073334</v>
      </c>
      <c r="AM95" s="285">
        <f>'Réserves 2024'!BF$43</f>
        <v>42.336999999999996</v>
      </c>
      <c r="AN95" s="286">
        <f>'Réserves 2023'!BF43</f>
        <v>0.43859497588713742</v>
      </c>
      <c r="AO95" s="287">
        <f>'Réserves 2023'!BE43</f>
        <v>30.467000000000002</v>
      </c>
      <c r="AP95" s="288">
        <f t="shared" si="46"/>
        <v>0.17087742028359593</v>
      </c>
      <c r="AQ95" s="289">
        <f t="shared" si="46"/>
        <v>11.869999999999994</v>
      </c>
      <c r="AR95" s="290">
        <f t="shared" si="47"/>
        <v>4.8887929172964806E-2</v>
      </c>
      <c r="AS95" s="291">
        <f t="shared" si="47"/>
        <v>3.3960000000000008</v>
      </c>
    </row>
    <row r="96" spans="1:45">
      <c r="A96" s="272" t="s">
        <v>231</v>
      </c>
      <c r="B96" s="273">
        <f>'Réserves 2024'!BC$58</f>
        <v>0.75170623240749046</v>
      </c>
      <c r="C96" s="274">
        <f>'Réserves 2023'!BB58</f>
        <v>0.48894236957831694</v>
      </c>
      <c r="D96" s="273">
        <f t="shared" si="41"/>
        <v>0.80146009793966766</v>
      </c>
      <c r="E96" s="330"/>
      <c r="F96" s="331"/>
      <c r="J96" s="272" t="s">
        <v>231</v>
      </c>
      <c r="K96" s="273">
        <f>'Réserves 2024'!BE$58</f>
        <v>0.74905851959435987</v>
      </c>
      <c r="L96" s="273">
        <f>'Réserves 2024'!BG$58</f>
        <v>0.75900029561842053</v>
      </c>
      <c r="M96" s="331"/>
      <c r="Q96" s="272" t="s">
        <v>231</v>
      </c>
      <c r="R96" s="275">
        <f>'Réserves 2024'!BC$58</f>
        <v>0.75170623240749046</v>
      </c>
      <c r="S96" s="276">
        <f>'Réserves 2024'!BB$58</f>
        <v>58.484999999999999</v>
      </c>
      <c r="T96" s="277">
        <f>'Réserves 2023'!BB58</f>
        <v>0.48894236957831694</v>
      </c>
      <c r="U96" s="278">
        <f>'Réserves 2023'!BA58</f>
        <v>38.136037999999992</v>
      </c>
      <c r="V96" s="277">
        <f t="shared" si="42"/>
        <v>0.26276386282917352</v>
      </c>
      <c r="W96" s="276">
        <f t="shared" si="42"/>
        <v>20.348962000000007</v>
      </c>
      <c r="X96" s="279">
        <f t="shared" si="43"/>
        <v>-4.9753865532177199E-2</v>
      </c>
      <c r="Y96" s="280">
        <f t="shared" si="43"/>
        <v>-3.870999999999988</v>
      </c>
      <c r="AA96" s="272" t="s">
        <v>231</v>
      </c>
      <c r="AB96" s="275">
        <f>'Réserves 2024'!BE$58</f>
        <v>0.74905851959435987</v>
      </c>
      <c r="AC96" s="276">
        <f>'Réserves 2024'!BD$58</f>
        <v>58.278999999999996</v>
      </c>
      <c r="AD96" s="277">
        <f>'Réserves 2023'!BD58</f>
        <v>0.46696011385053265</v>
      </c>
      <c r="AE96" s="278">
        <f>'Réserves 2023'!BC58</f>
        <v>36.421488000000004</v>
      </c>
      <c r="AF96" s="277">
        <f t="shared" si="44"/>
        <v>0.28209840574382722</v>
      </c>
      <c r="AG96" s="276">
        <f t="shared" si="44"/>
        <v>21.857511999999993</v>
      </c>
      <c r="AH96" s="279">
        <f t="shared" si="45"/>
        <v>-2.6477128131305872E-3</v>
      </c>
      <c r="AI96" s="280">
        <f t="shared" si="45"/>
        <v>-0.20600000000000307</v>
      </c>
      <c r="AK96" s="272" t="s">
        <v>231</v>
      </c>
      <c r="AL96" s="275">
        <f>'Réserves 2024'!BG$58</f>
        <v>0.75900029561842053</v>
      </c>
      <c r="AM96" s="276">
        <f>'Réserves 2024'!BF$58</f>
        <v>59.052499999999995</v>
      </c>
      <c r="AN96" s="277">
        <f>'Réserves 2023'!BF58</f>
        <v>0.435865110196546</v>
      </c>
      <c r="AO96" s="278">
        <f>'Réserves 2023'!BE58</f>
        <v>33.996171000000004</v>
      </c>
      <c r="AP96" s="277">
        <f t="shared" si="46"/>
        <v>0.32313518542187453</v>
      </c>
      <c r="AQ96" s="276">
        <f t="shared" si="46"/>
        <v>25.056328999999991</v>
      </c>
      <c r="AR96" s="279">
        <f t="shared" si="47"/>
        <v>9.9417760240606556E-3</v>
      </c>
      <c r="AS96" s="280">
        <f t="shared" si="47"/>
        <v>0.77349999999999852</v>
      </c>
    </row>
    <row r="97" spans="1:45">
      <c r="A97" s="293" t="s">
        <v>232</v>
      </c>
      <c r="B97" s="294">
        <f>'Réserves 2024'!BC$60</f>
        <v>0.59844349981378508</v>
      </c>
      <c r="C97" s="295">
        <f>'Réserves 2023'!BB60</f>
        <v>0.42111957102823067</v>
      </c>
      <c r="D97" s="294">
        <f t="shared" si="41"/>
        <v>0.62120538867556208</v>
      </c>
      <c r="F97" s="331"/>
      <c r="J97" s="141" t="s">
        <v>232</v>
      </c>
      <c r="K97" s="316">
        <f>'Réserves 2024'!BE$60</f>
        <v>0.60104736537942893</v>
      </c>
      <c r="L97" s="316">
        <f>'Réserves 2024'!BG$60</f>
        <v>0.62927326081652035</v>
      </c>
      <c r="M97" s="331"/>
      <c r="Q97" s="293" t="s">
        <v>232</v>
      </c>
      <c r="R97" s="296">
        <f>'Réserves 2024'!BC$60</f>
        <v>0.59844349981378508</v>
      </c>
      <c r="S97" s="297">
        <f>'Réserves 2024'!BB$60</f>
        <v>232.99500000000003</v>
      </c>
      <c r="T97" s="298">
        <f>'Réserves 2023'!BB60</f>
        <v>0.42111957102823067</v>
      </c>
      <c r="U97" s="299">
        <f>'Réserves 2023'!BA60</f>
        <v>164.02165116000003</v>
      </c>
      <c r="V97" s="300">
        <f t="shared" si="42"/>
        <v>0.17732392878555442</v>
      </c>
      <c r="W97" s="301">
        <f t="shared" si="42"/>
        <v>68.97334884</v>
      </c>
      <c r="X97" s="302">
        <f t="shared" si="43"/>
        <v>-2.2761888861776991E-2</v>
      </c>
      <c r="Y97" s="303">
        <f t="shared" si="43"/>
        <v>-8.8619999999999663</v>
      </c>
      <c r="AA97" s="293" t="s">
        <v>232</v>
      </c>
      <c r="AB97" s="296">
        <f>'Réserves 2024'!BE$60</f>
        <v>0.60104736537942893</v>
      </c>
      <c r="AC97" s="297">
        <f>'Réserves 2024'!BD$60</f>
        <v>234.00877599999998</v>
      </c>
      <c r="AD97" s="298">
        <f>'Réserves 2023'!BD60</f>
        <v>0.39799303511391204</v>
      </c>
      <c r="AE97" s="299">
        <f>'Réserves 2023'!BC60</f>
        <v>155.01410825000002</v>
      </c>
      <c r="AF97" s="300">
        <f t="shared" si="44"/>
        <v>0.20305433026551689</v>
      </c>
      <c r="AG97" s="301">
        <f t="shared" si="44"/>
        <v>78.994667749999962</v>
      </c>
      <c r="AH97" s="302">
        <f t="shared" si="45"/>
        <v>2.6038655656438481E-3</v>
      </c>
      <c r="AI97" s="303">
        <f t="shared" si="45"/>
        <v>1.0137759999999503</v>
      </c>
      <c r="AK97" s="293" t="s">
        <v>232</v>
      </c>
      <c r="AL97" s="296">
        <f>'Réserves 2024'!BG$60</f>
        <v>0.62927326081652035</v>
      </c>
      <c r="AM97" s="297">
        <f>'Réserves 2024'!BF$60</f>
        <v>244.99810499999998</v>
      </c>
      <c r="AN97" s="298">
        <f>'Réserves 2023'!BF60</f>
        <v>0.37532146822956719</v>
      </c>
      <c r="AO97" s="299">
        <f>'Réserves 2023'!BE60</f>
        <v>146.18377100000001</v>
      </c>
      <c r="AP97" s="300">
        <f t="shared" si="46"/>
        <v>0.25395179258695316</v>
      </c>
      <c r="AQ97" s="301">
        <f t="shared" si="46"/>
        <v>98.814333999999974</v>
      </c>
      <c r="AR97" s="302">
        <f t="shared" si="47"/>
        <v>2.8225895437091419E-2</v>
      </c>
      <c r="AS97" s="303">
        <f t="shared" si="47"/>
        <v>10.989328999999998</v>
      </c>
    </row>
    <row r="98" spans="1:45">
      <c r="F98" s="328"/>
      <c r="M98" s="328"/>
      <c r="P98" s="329"/>
      <c r="AE98" s="264"/>
      <c r="AO98" s="264"/>
    </row>
    <row r="99" spans="1:45">
      <c r="A99" s="293" t="s">
        <v>233</v>
      </c>
      <c r="B99" s="317">
        <f>'Réserves 2024'!BC$73</f>
        <v>0.7121226203691573</v>
      </c>
      <c r="C99" s="318">
        <f>'Réserves 2023'!BB73</f>
        <v>0.33729887975664685</v>
      </c>
      <c r="D99" s="318">
        <f>B85</f>
        <v>0.73245391585266928</v>
      </c>
      <c r="F99" s="328"/>
      <c r="J99" s="319" t="s">
        <v>233</v>
      </c>
      <c r="K99" s="320">
        <f>'Réserves 2024'!BE$73</f>
        <v>0.71210193542159361</v>
      </c>
      <c r="L99" s="320">
        <f>'Réserves 2024'!BG$73</f>
        <v>0.71210193542159361</v>
      </c>
      <c r="M99" s="328"/>
      <c r="P99" s="329"/>
      <c r="Q99" s="293" t="s">
        <v>233</v>
      </c>
      <c r="R99" s="317">
        <f>'Réserves 2024'!BC$73</f>
        <v>0.7121226203691573</v>
      </c>
      <c r="S99" s="297">
        <f>'Réserves 2024'!BB$73</f>
        <v>103.28128</v>
      </c>
      <c r="T99" s="298">
        <f>'Réserves 2023'!BB73</f>
        <v>0.33729887975664685</v>
      </c>
      <c r="U99" s="299">
        <f>'Réserves 2023'!BA73</f>
        <v>57.659556999999992</v>
      </c>
      <c r="V99" s="300">
        <f>R99-T99</f>
        <v>0.37482374061251045</v>
      </c>
      <c r="W99" s="301">
        <f>S99-U99</f>
        <v>45.621723000000003</v>
      </c>
      <c r="X99" s="302">
        <f>R99-R85</f>
        <v>-2.033129548351198E-2</v>
      </c>
      <c r="Y99" s="303">
        <f>S99-S85</f>
        <v>-2.3730000000000047</v>
      </c>
      <c r="AA99" s="293" t="s">
        <v>233</v>
      </c>
      <c r="AB99" s="317">
        <f>'Réserves 2024'!BE$73</f>
        <v>0.71210193542159361</v>
      </c>
      <c r="AC99" s="297">
        <f>'Réserves 2024'!BD$73</f>
        <v>103.27828</v>
      </c>
      <c r="AD99" s="298">
        <f>'Réserves 2023'!BD73</f>
        <v>0.27200852905905415</v>
      </c>
      <c r="AE99" s="299">
        <f>'Réserves 2023'!BC73</f>
        <v>46.498498000000005</v>
      </c>
      <c r="AF99" s="300">
        <f>AB99-AD99</f>
        <v>0.44009340636253946</v>
      </c>
      <c r="AG99" s="301">
        <f>AC99-AE99</f>
        <v>56.77978199999999</v>
      </c>
      <c r="AH99" s="302">
        <f>AB99-R99</f>
        <v>-2.0684947563687217E-5</v>
      </c>
      <c r="AI99" s="303">
        <f>AC99-S99</f>
        <v>-3.0000000000001137E-3</v>
      </c>
      <c r="AK99" s="293" t="s">
        <v>233</v>
      </c>
      <c r="AL99" s="317">
        <f>'Réserves 2024'!BG$73</f>
        <v>0.71210193542159361</v>
      </c>
      <c r="AM99" s="297">
        <f>'Réserves 2024'!BF$73</f>
        <v>103.27828</v>
      </c>
      <c r="AN99" s="298">
        <f>'Réserves 2023'!BF73</f>
        <v>0.17128775922080203</v>
      </c>
      <c r="AO99" s="299">
        <f>'Réserves 2023'!BE73</f>
        <v>29.280785999999999</v>
      </c>
      <c r="AP99" s="300">
        <f>AL99-AN99</f>
        <v>0.54081417620079164</v>
      </c>
      <c r="AQ99" s="301">
        <f>AM99-AO99</f>
        <v>73.997493999999989</v>
      </c>
      <c r="AR99" s="302">
        <f>AL99-AB99</f>
        <v>0</v>
      </c>
      <c r="AS99" s="303">
        <f>AM99-AM85</f>
        <v>3.0000000000143245E-3</v>
      </c>
    </row>
    <row r="100" spans="1:45">
      <c r="F100" s="264"/>
      <c r="J100" t="s">
        <v>269</v>
      </c>
      <c r="K100" s="326">
        <f>('Réserves 2024'!BD73-'Réserves 2024'!BD69)/('Réserves 2024'!R73-'Réserves 2024'!R68-'Réserves 2024'!R69)</f>
        <v>0.66752027329293562</v>
      </c>
      <c r="M100" s="264"/>
    </row>
    <row r="101" spans="1:45">
      <c r="J101" t="s">
        <v>270</v>
      </c>
      <c r="K101" s="261">
        <f>'Réserves 2024'!BE69</f>
        <v>0.44187500000000002</v>
      </c>
    </row>
    <row r="102" spans="1:45">
      <c r="A102" s="73" t="s">
        <v>213</v>
      </c>
    </row>
    <row r="103" spans="1:45">
      <c r="R103" s="419" t="s">
        <v>412</v>
      </c>
      <c r="S103" s="419"/>
      <c r="T103" s="416" t="s">
        <v>271</v>
      </c>
      <c r="U103" s="416"/>
      <c r="V103" s="417" t="s">
        <v>413</v>
      </c>
      <c r="W103" s="417"/>
      <c r="X103" s="418" t="s">
        <v>414</v>
      </c>
      <c r="Y103" s="418"/>
    </row>
    <row r="104" spans="1:45" ht="37.5">
      <c r="A104" s="265" t="s">
        <v>218</v>
      </c>
      <c r="B104" s="266" t="s">
        <v>364</v>
      </c>
      <c r="C104" s="265" t="s">
        <v>272</v>
      </c>
      <c r="D104" s="266" t="s">
        <v>363</v>
      </c>
      <c r="F104" s="262"/>
      <c r="M104" s="262"/>
      <c r="Q104" s="265" t="s">
        <v>218</v>
      </c>
      <c r="R104" s="268" t="s">
        <v>221</v>
      </c>
      <c r="S104" s="268" t="s">
        <v>222</v>
      </c>
      <c r="T104" s="269" t="s">
        <v>221</v>
      </c>
      <c r="U104" s="269" t="s">
        <v>222</v>
      </c>
      <c r="V104" s="270" t="s">
        <v>223</v>
      </c>
      <c r="W104" s="270" t="s">
        <v>224</v>
      </c>
      <c r="X104" s="271" t="s">
        <v>223</v>
      </c>
      <c r="Y104" s="271" t="s">
        <v>224</v>
      </c>
    </row>
    <row r="105" spans="1:45">
      <c r="A105" s="272" t="s">
        <v>225</v>
      </c>
      <c r="B105" s="273">
        <f>'Réserves 2024'!BI$14</f>
        <v>0.7474248160582897</v>
      </c>
      <c r="C105" s="274">
        <f>'Réserves 2023'!BH14</f>
        <v>0.4464033145224659</v>
      </c>
      <c r="D105" s="273">
        <f t="shared" ref="D105:D112" si="48">B90</f>
        <v>0.56118294163868843</v>
      </c>
      <c r="E105" s="330"/>
      <c r="F105" s="331"/>
      <c r="M105" s="331"/>
      <c r="Q105" s="272" t="s">
        <v>225</v>
      </c>
      <c r="R105" s="275">
        <f>'Réserves 2024'!BI$14</f>
        <v>0.7474248160582897</v>
      </c>
      <c r="S105" s="276">
        <f>'Réserves 2024'!BH$14</f>
        <v>52.315999999999988</v>
      </c>
      <c r="T105" s="277">
        <f>'Réserves 2023'!BH14</f>
        <v>0.4464033145224659</v>
      </c>
      <c r="U105" s="278">
        <f>'Réserves 2023'!BG14</f>
        <v>31.246000000000002</v>
      </c>
      <c r="V105" s="277">
        <f t="shared" ref="V105:W112" si="49">R105-T105</f>
        <v>0.3010215015358238</v>
      </c>
      <c r="W105" s="276">
        <f t="shared" si="49"/>
        <v>21.069999999999986</v>
      </c>
      <c r="X105" s="279">
        <f t="shared" ref="X105:Y108" si="50">R105-AL90</f>
        <v>8.0462890206443261E-2</v>
      </c>
      <c r="Y105" s="280">
        <f t="shared" si="50"/>
        <v>5.6319999999999908</v>
      </c>
    </row>
    <row r="106" spans="1:45">
      <c r="A106" s="281" t="s">
        <v>226</v>
      </c>
      <c r="B106" s="282">
        <f>'Réserves 2024'!BI$16</f>
        <v>0.9023584905660379</v>
      </c>
      <c r="C106" s="283">
        <f>'Réserves 2023'!BH16</f>
        <v>0.11745283018867926</v>
      </c>
      <c r="D106" s="282">
        <f t="shared" si="48"/>
        <v>0.85613207547169812</v>
      </c>
      <c r="E106" s="330"/>
      <c r="F106" s="331"/>
      <c r="M106" s="331"/>
      <c r="Q106" s="281" t="s">
        <v>226</v>
      </c>
      <c r="R106" s="284">
        <f>'Réserves 2024'!BI$16</f>
        <v>0.9023584905660379</v>
      </c>
      <c r="S106" s="285">
        <f>'Réserves 2024'!BH$16</f>
        <v>19.130000000000003</v>
      </c>
      <c r="T106" s="286">
        <f>'Réserves 2023'!BH16</f>
        <v>0.11745283018867926</v>
      </c>
      <c r="U106" s="287">
        <f>'Réserves 2023'!BG16</f>
        <v>2.4900000000000002</v>
      </c>
      <c r="V106" s="288">
        <f t="shared" si="49"/>
        <v>0.78490566037735865</v>
      </c>
      <c r="W106" s="289">
        <f t="shared" si="49"/>
        <v>16.64</v>
      </c>
      <c r="X106" s="290">
        <f t="shared" si="50"/>
        <v>0</v>
      </c>
      <c r="Y106" s="291">
        <f t="shared" si="50"/>
        <v>0</v>
      </c>
    </row>
    <row r="107" spans="1:45">
      <c r="A107" s="272" t="s">
        <v>227</v>
      </c>
      <c r="B107" s="273">
        <f>'Réserves 2024'!BI$18</f>
        <v>0.99205308493589739</v>
      </c>
      <c r="C107" s="274">
        <f>'Réserves 2023'!BH18</f>
        <v>0.28228167592125192</v>
      </c>
      <c r="D107" s="273">
        <f t="shared" si="48"/>
        <v>0.9517227564102565</v>
      </c>
      <c r="E107" s="330"/>
      <c r="F107" s="331"/>
      <c r="M107" s="331"/>
      <c r="Q107" s="272" t="s">
        <v>227</v>
      </c>
      <c r="R107" s="275">
        <f>'Réserves 2024'!BI$18</f>
        <v>0.99205308493589739</v>
      </c>
      <c r="S107" s="276">
        <f>'Réserves 2024'!BH$18</f>
        <v>4.9523289999999998</v>
      </c>
      <c r="T107" s="277">
        <f>'Réserves 2023'!BH18</f>
        <v>0.28228167592125192</v>
      </c>
      <c r="U107" s="278">
        <f>'Réserves 2023'!BG18</f>
        <v>1.3979999999999999</v>
      </c>
      <c r="V107" s="277">
        <f t="shared" si="49"/>
        <v>0.70977140901464542</v>
      </c>
      <c r="W107" s="276">
        <f t="shared" si="49"/>
        <v>3.5543290000000001</v>
      </c>
      <c r="X107" s="279">
        <f t="shared" si="50"/>
        <v>0.52300166134496184</v>
      </c>
      <c r="Y107" s="280">
        <f t="shared" si="50"/>
        <v>-59.626670999999995</v>
      </c>
    </row>
    <row r="108" spans="1:45">
      <c r="A108" s="281" t="s">
        <v>228</v>
      </c>
      <c r="B108" s="282">
        <f>'Réserves 2024'!BI$31</f>
        <v>0.48236490412550853</v>
      </c>
      <c r="C108" s="283">
        <f>'Réserves 2023'!BH31</f>
        <v>0.29658505229517729</v>
      </c>
      <c r="D108" s="282">
        <f t="shared" si="48"/>
        <v>0.47977193492155734</v>
      </c>
      <c r="E108" s="330"/>
      <c r="F108" s="331"/>
      <c r="M108" s="331"/>
      <c r="Q108" s="281" t="s">
        <v>228</v>
      </c>
      <c r="R108" s="284">
        <f>'Réserves 2024'!BI$31</f>
        <v>0.48236490412550853</v>
      </c>
      <c r="S108" s="285">
        <f>'Réserves 2024'!BH$31</f>
        <v>66.412000000000006</v>
      </c>
      <c r="T108" s="286">
        <f>'Réserves 2023'!BH31</f>
        <v>0.29658505229517729</v>
      </c>
      <c r="U108" s="287">
        <f>'Réserves 2023'!BG31</f>
        <v>40.833829999999999</v>
      </c>
      <c r="V108" s="288">
        <f t="shared" si="49"/>
        <v>0.18577985183033124</v>
      </c>
      <c r="W108" s="289">
        <f t="shared" si="49"/>
        <v>25.578170000000007</v>
      </c>
      <c r="X108" s="290">
        <f t="shared" si="50"/>
        <v>1.3313480534572986E-2</v>
      </c>
      <c r="Y108" s="291">
        <f t="shared" si="50"/>
        <v>1.8330000000000126</v>
      </c>
    </row>
    <row r="109" spans="1:45">
      <c r="A109" s="272" t="s">
        <v>229</v>
      </c>
      <c r="B109" s="273">
        <f>'Réserves 2024'!BI$45</f>
        <v>1</v>
      </c>
      <c r="C109" s="274">
        <f>'Réserves 2023'!BH45</f>
        <v>0.78292682926829271</v>
      </c>
      <c r="D109" s="273">
        <f t="shared" si="48"/>
        <v>0.93048780487804883</v>
      </c>
      <c r="E109" s="330"/>
      <c r="F109" s="331"/>
      <c r="M109" s="331"/>
      <c r="Q109" s="272" t="s">
        <v>229</v>
      </c>
      <c r="R109" s="275">
        <f>'Réserves 2024'!BI$45</f>
        <v>1</v>
      </c>
      <c r="S109" s="276">
        <f>'Réserves 2024'!BH$45</f>
        <v>8.1999999999999993</v>
      </c>
      <c r="T109" s="277">
        <f>'Réserves 2023'!BH45</f>
        <v>0.78292682926829271</v>
      </c>
      <c r="U109" s="292">
        <f>'Réserves 2023'!BG45</f>
        <v>6.42</v>
      </c>
      <c r="V109" s="277">
        <f t="shared" si="49"/>
        <v>0.21707317073170729</v>
      </c>
      <c r="W109" s="276">
        <f t="shared" si="49"/>
        <v>1.7799999999999994</v>
      </c>
      <c r="X109" s="279">
        <f>R109-AL904</f>
        <v>1</v>
      </c>
      <c r="Y109" s="280">
        <f>S109-AM94</f>
        <v>0</v>
      </c>
    </row>
    <row r="110" spans="1:45">
      <c r="A110" s="281" t="s">
        <v>230</v>
      </c>
      <c r="B110" s="282">
        <f>'Réserves 2024'!BI$43</f>
        <v>0.63208810192183118</v>
      </c>
      <c r="C110" s="283">
        <f>'Réserves 2023'!BH43</f>
        <v>0.43663715540200104</v>
      </c>
      <c r="D110" s="282">
        <f t="shared" si="48"/>
        <v>0.55630893255596348</v>
      </c>
      <c r="E110" s="330"/>
      <c r="F110" s="331"/>
      <c r="M110" s="331"/>
      <c r="Q110" s="281" t="s">
        <v>230</v>
      </c>
      <c r="R110" s="284">
        <f>'Réserves 2024'!BI$43</f>
        <v>0.63208810192183118</v>
      </c>
      <c r="S110" s="285">
        <f>'Réserves 2024'!BH$43</f>
        <v>43.908000000000001</v>
      </c>
      <c r="T110" s="286">
        <f>'Réserves 2023'!BH43</f>
        <v>0.43663715540200104</v>
      </c>
      <c r="U110" s="287">
        <f>'Réserves 2023'!BG43</f>
        <v>30.331000000000003</v>
      </c>
      <c r="V110" s="288">
        <f t="shared" si="49"/>
        <v>0.19545094651983014</v>
      </c>
      <c r="W110" s="289">
        <f t="shared" si="49"/>
        <v>13.576999999999998</v>
      </c>
      <c r="X110" s="290">
        <f>R110-AL95</f>
        <v>2.2615705751097837E-2</v>
      </c>
      <c r="Y110" s="291">
        <f>S110-AM95</f>
        <v>1.5710000000000051</v>
      </c>
    </row>
    <row r="111" spans="1:45">
      <c r="A111" s="272" t="s">
        <v>231</v>
      </c>
      <c r="B111" s="273">
        <f>'Réserves 2024'!BI$58</f>
        <v>0.7800781203809618</v>
      </c>
      <c r="C111" s="274">
        <f>'Réserves 2023'!BH58</f>
        <v>0.42279997948639025</v>
      </c>
      <c r="D111" s="273">
        <f t="shared" si="48"/>
        <v>0.75170623240749046</v>
      </c>
      <c r="E111" s="330"/>
      <c r="F111" s="331"/>
      <c r="M111" s="331"/>
      <c r="Q111" s="272" t="s">
        <v>231</v>
      </c>
      <c r="R111" s="275">
        <f>'Réserves 2024'!BI$58</f>
        <v>0.7800781203809618</v>
      </c>
      <c r="S111" s="276">
        <f>'Réserves 2024'!BH$58</f>
        <v>60.692417999999989</v>
      </c>
      <c r="T111" s="277">
        <f>'Réserves 2023'!BH58</f>
        <v>0.42279997948639025</v>
      </c>
      <c r="U111" s="278">
        <f>'Réserves 2023'!BG58</f>
        <v>32.977129999999988</v>
      </c>
      <c r="V111" s="277">
        <f t="shared" si="49"/>
        <v>0.35727814089457155</v>
      </c>
      <c r="W111" s="276">
        <f t="shared" si="49"/>
        <v>27.715288000000001</v>
      </c>
      <c r="X111" s="279">
        <f>R111-AL96</f>
        <v>2.1077824762541275E-2</v>
      </c>
      <c r="Y111" s="280">
        <f>S111-AM96</f>
        <v>1.6399179999999944</v>
      </c>
    </row>
    <row r="112" spans="1:45">
      <c r="A112" s="293" t="s">
        <v>232</v>
      </c>
      <c r="B112" s="294">
        <f>'Réserves 2024'!BI$60</f>
        <v>0.65653164241591422</v>
      </c>
      <c r="C112" s="295">
        <f>'Réserves 2023'!BH60</f>
        <v>0.37406903138595521</v>
      </c>
      <c r="D112" s="294">
        <f t="shared" si="48"/>
        <v>0.59844349981378508</v>
      </c>
      <c r="E112" s="330"/>
      <c r="F112" s="331"/>
      <c r="M112" s="331"/>
      <c r="Q112" s="293" t="s">
        <v>232</v>
      </c>
      <c r="R112" s="296">
        <f>'Réserves 2024'!BI$60</f>
        <v>0.65653164241591422</v>
      </c>
      <c r="S112" s="297">
        <f>'Réserves 2024'!BH$60</f>
        <v>255.610747</v>
      </c>
      <c r="T112" s="298">
        <f>'Réserves 2023'!BH60</f>
        <v>0.37406903138595521</v>
      </c>
      <c r="U112" s="299">
        <f>'Réserves 2023'!BG60</f>
        <v>145.69595999999999</v>
      </c>
      <c r="V112" s="300">
        <f t="shared" si="49"/>
        <v>0.28246261102995901</v>
      </c>
      <c r="W112" s="301">
        <f t="shared" si="49"/>
        <v>109.91478700000002</v>
      </c>
      <c r="X112" s="302">
        <f>R112-AL97</f>
        <v>2.7258381599393866E-2</v>
      </c>
      <c r="Y112" s="303">
        <f>S112-AM97</f>
        <v>10.612642000000022</v>
      </c>
    </row>
    <row r="113" spans="1:25">
      <c r="E113" s="330"/>
      <c r="F113" s="328"/>
      <c r="M113" s="328"/>
      <c r="P113" s="329"/>
    </row>
    <row r="114" spans="1:25">
      <c r="A114" s="293" t="s">
        <v>233</v>
      </c>
      <c r="B114" s="317">
        <f>'Réserves 2024'!BI$73</f>
        <v>0.7121273779070969</v>
      </c>
      <c r="C114" s="318">
        <f>'Réserves 2023'!BH73</f>
        <v>0.15143445854556967</v>
      </c>
      <c r="D114" s="318">
        <f>B99</f>
        <v>0.7121226203691573</v>
      </c>
      <c r="E114" s="330"/>
      <c r="F114" s="328"/>
      <c r="M114" s="328"/>
      <c r="P114" s="329"/>
      <c r="Q114" s="293" t="s">
        <v>233</v>
      </c>
      <c r="R114" s="317">
        <f>'Réserves 2024'!BI$73</f>
        <v>0.7121273779070969</v>
      </c>
      <c r="S114" s="297">
        <f>'Réserves 2024'!BH$73</f>
        <v>103.28197</v>
      </c>
      <c r="T114" s="298">
        <f>'Réserves 2023'!BH23</f>
        <v>0.54361054766734285</v>
      </c>
      <c r="U114" s="299">
        <f>'Réserves 2023'!BG73</f>
        <v>26.310980000000001</v>
      </c>
      <c r="V114" s="300">
        <f>R114-T114</f>
        <v>0.16851683023975406</v>
      </c>
      <c r="W114" s="301">
        <f>S114-U114</f>
        <v>76.97099</v>
      </c>
      <c r="X114" s="302">
        <f>R114-AL99</f>
        <v>2.5442485503290868E-5</v>
      </c>
      <c r="Y114" s="303">
        <f>S114-AM99</f>
        <v>3.6900000000059663E-3</v>
      </c>
    </row>
    <row r="115" spans="1:25">
      <c r="F115" s="264"/>
      <c r="M115" s="264"/>
    </row>
    <row r="117" spans="1:25">
      <c r="A117" s="73" t="s">
        <v>273</v>
      </c>
    </row>
    <row r="119" spans="1:25" ht="28">
      <c r="A119" s="265" t="s">
        <v>218</v>
      </c>
      <c r="B119" s="332" t="s">
        <v>365</v>
      </c>
      <c r="C119" s="265" t="s">
        <v>344</v>
      </c>
      <c r="D119" s="266" t="s">
        <v>366</v>
      </c>
      <c r="E119" s="265" t="s">
        <v>274</v>
      </c>
      <c r="F119" s="265" t="s">
        <v>364</v>
      </c>
      <c r="M119" s="267"/>
    </row>
    <row r="120" spans="1:25">
      <c r="A120" s="272" t="s">
        <v>225</v>
      </c>
      <c r="B120" s="273"/>
      <c r="C120" s="274">
        <f t="shared" ref="C120:C127" si="51">F4</f>
        <v>0.8641045788984929</v>
      </c>
      <c r="D120" s="273">
        <f>'Réserves 2024'!$BK$14</f>
        <v>0.82501607257661269</v>
      </c>
      <c r="E120" s="274">
        <f>'Réserves 2023'!BJ14</f>
        <v>0.66989070647903426</v>
      </c>
      <c r="F120" s="273">
        <f t="shared" ref="F120:F127" si="52">B105</f>
        <v>0.7474248160582897</v>
      </c>
      <c r="M120" s="333"/>
    </row>
    <row r="121" spans="1:25">
      <c r="A121" s="281" t="s">
        <v>226</v>
      </c>
      <c r="B121" s="282"/>
      <c r="C121" s="283">
        <f t="shared" si="51"/>
        <v>1.0047169811320755</v>
      </c>
      <c r="D121" s="282">
        <f>'Réserves 2024'!$BK$16</f>
        <v>0.93349056603773584</v>
      </c>
      <c r="E121" s="283">
        <f>'Réserves 2023'!BJ16</f>
        <v>0.69056603773584913</v>
      </c>
      <c r="F121" s="282">
        <f t="shared" si="52"/>
        <v>0.9023584905660379</v>
      </c>
      <c r="M121" s="333"/>
    </row>
    <row r="122" spans="1:25">
      <c r="A122" s="272" t="s">
        <v>227</v>
      </c>
      <c r="B122" s="273"/>
      <c r="C122" s="274">
        <f t="shared" si="51"/>
        <v>1</v>
      </c>
      <c r="D122" s="273">
        <f>'Réserves 2024'!$BK$18</f>
        <v>0.99205308493589739</v>
      </c>
      <c r="E122" s="274">
        <f>'Réserves 2023'!BJ18</f>
        <v>0.73614861181221614</v>
      </c>
      <c r="F122" s="273">
        <f t="shared" si="52"/>
        <v>0.99205308493589739</v>
      </c>
      <c r="M122" s="333"/>
    </row>
    <row r="123" spans="1:25">
      <c r="A123" s="281" t="s">
        <v>228</v>
      </c>
      <c r="B123" s="282"/>
      <c r="C123" s="283">
        <f t="shared" si="51"/>
        <v>0.39300552004648465</v>
      </c>
      <c r="D123" s="282">
        <f>'Réserves 2024'!$BK$31</f>
        <v>0.51866253631609538</v>
      </c>
      <c r="E123" s="283">
        <f>'Réserves 2023'!BJ31</f>
        <v>0.34347762928529924</v>
      </c>
      <c r="F123" s="282">
        <f t="shared" si="52"/>
        <v>0.48236490412550853</v>
      </c>
      <c r="M123" s="333"/>
    </row>
    <row r="124" spans="1:25">
      <c r="A124" s="272" t="s">
        <v>229</v>
      </c>
      <c r="B124" s="273"/>
      <c r="C124" s="274">
        <f t="shared" si="51"/>
        <v>1</v>
      </c>
      <c r="D124" s="273">
        <f>'Réserves 2024'!$BK$45</f>
        <v>1</v>
      </c>
      <c r="E124" s="274">
        <f>'Réserves 2023'!BJ45</f>
        <v>0.98048780487804876</v>
      </c>
      <c r="F124" s="273">
        <f t="shared" si="52"/>
        <v>1</v>
      </c>
      <c r="M124" s="333"/>
    </row>
    <row r="125" spans="1:25">
      <c r="A125" s="281" t="s">
        <v>230</v>
      </c>
      <c r="B125" s="282"/>
      <c r="C125" s="283">
        <f t="shared" si="51"/>
        <v>0.75427913337652053</v>
      </c>
      <c r="D125" s="282">
        <f>'Réserves 2024'!$BK$43</f>
        <v>0.72449434967249693</v>
      </c>
      <c r="E125" s="283">
        <f>'Réserves 2023'!BJ43</f>
        <v>0.5674368386957459</v>
      </c>
      <c r="F125" s="282">
        <f t="shared" si="52"/>
        <v>0.63208810192183118</v>
      </c>
      <c r="M125" s="333"/>
    </row>
    <row r="126" spans="1:25">
      <c r="A126" s="272" t="s">
        <v>231</v>
      </c>
      <c r="B126" s="273"/>
      <c r="C126" s="274">
        <f t="shared" si="51"/>
        <v>0.72001862396051541</v>
      </c>
      <c r="D126" s="273">
        <f>'Réserves 2024'!$BK$58</f>
        <v>0.83071346863231454</v>
      </c>
      <c r="E126" s="274">
        <f>'Réserves 2023'!BJ58</f>
        <v>0.48975295203661673</v>
      </c>
      <c r="F126" s="273">
        <f t="shared" si="52"/>
        <v>0.7800781203809618</v>
      </c>
      <c r="M126" s="333"/>
    </row>
    <row r="127" spans="1:25">
      <c r="A127" s="293" t="s">
        <v>232</v>
      </c>
      <c r="B127" s="294"/>
      <c r="C127" s="295">
        <f t="shared" si="51"/>
        <v>0.66138315075706011</v>
      </c>
      <c r="D127" s="294">
        <f>'Réserves 2024'!$BK$60</f>
        <v>0.71161798194357029</v>
      </c>
      <c r="E127" s="295">
        <f>'Réserves 2023'!BJ60</f>
        <v>0.5086684929888996</v>
      </c>
      <c r="F127" s="294">
        <f t="shared" si="52"/>
        <v>0.65653164241591422</v>
      </c>
    </row>
    <row r="128" spans="1:25">
      <c r="M128" s="9"/>
    </row>
    <row r="129" spans="1:13">
      <c r="A129" s="293" t="s">
        <v>233</v>
      </c>
      <c r="B129" s="304"/>
      <c r="C129" s="305"/>
      <c r="D129" s="305"/>
      <c r="E129" s="305"/>
      <c r="F129" s="305">
        <f>B114</f>
        <v>0.7121273779070969</v>
      </c>
      <c r="M129" s="9"/>
    </row>
  </sheetData>
  <mergeCells count="85">
    <mergeCell ref="AP88:AQ88"/>
    <mergeCell ref="AR88:AS88"/>
    <mergeCell ref="R103:S103"/>
    <mergeCell ref="T103:U103"/>
    <mergeCell ref="V103:W103"/>
    <mergeCell ref="X103:Y103"/>
    <mergeCell ref="AD88:AE88"/>
    <mergeCell ref="AF88:AG88"/>
    <mergeCell ref="AH88:AI88"/>
    <mergeCell ref="AL88:AM88"/>
    <mergeCell ref="AN88:AO88"/>
    <mergeCell ref="R88:S88"/>
    <mergeCell ref="T88:U88"/>
    <mergeCell ref="V88:W88"/>
    <mergeCell ref="X88:Y88"/>
    <mergeCell ref="AB88:AC88"/>
    <mergeCell ref="AP60:AQ60"/>
    <mergeCell ref="AR60:AS60"/>
    <mergeCell ref="R74:S74"/>
    <mergeCell ref="T74:U74"/>
    <mergeCell ref="V74:W74"/>
    <mergeCell ref="X74:Y74"/>
    <mergeCell ref="AB74:AC74"/>
    <mergeCell ref="AD74:AE74"/>
    <mergeCell ref="AF74:AG74"/>
    <mergeCell ref="AH74:AI74"/>
    <mergeCell ref="AL74:AM74"/>
    <mergeCell ref="AN74:AO74"/>
    <mergeCell ref="AP74:AQ74"/>
    <mergeCell ref="AR74:AS74"/>
    <mergeCell ref="AD60:AE60"/>
    <mergeCell ref="AF60:AG60"/>
    <mergeCell ref="AH60:AI60"/>
    <mergeCell ref="AL60:AM60"/>
    <mergeCell ref="AN60:AO60"/>
    <mergeCell ref="R60:S60"/>
    <mergeCell ref="T60:U60"/>
    <mergeCell ref="V60:W60"/>
    <mergeCell ref="X60:Y60"/>
    <mergeCell ref="AB60:AC60"/>
    <mergeCell ref="AP46:AQ46"/>
    <mergeCell ref="AR46:AS46"/>
    <mergeCell ref="AB58:AC58"/>
    <mergeCell ref="AD58:AE58"/>
    <mergeCell ref="AF58:AG58"/>
    <mergeCell ref="AH58:AI58"/>
    <mergeCell ref="AD46:AE46"/>
    <mergeCell ref="AF46:AG46"/>
    <mergeCell ref="AH46:AI46"/>
    <mergeCell ref="AL46:AM46"/>
    <mergeCell ref="AN46:AO46"/>
    <mergeCell ref="R46:S46"/>
    <mergeCell ref="T46:U46"/>
    <mergeCell ref="V46:W46"/>
    <mergeCell ref="X46:Y46"/>
    <mergeCell ref="AB46:AC46"/>
    <mergeCell ref="J24:L28"/>
    <mergeCell ref="R32:S32"/>
    <mergeCell ref="T32:U32"/>
    <mergeCell ref="V32:W32"/>
    <mergeCell ref="X32:Y32"/>
    <mergeCell ref="AD2:AE2"/>
    <mergeCell ref="AF2:AG2"/>
    <mergeCell ref="AH2:AI2"/>
    <mergeCell ref="R17:S17"/>
    <mergeCell ref="T17:U17"/>
    <mergeCell ref="V17:W17"/>
    <mergeCell ref="X17:Y17"/>
    <mergeCell ref="AB17:AC17"/>
    <mergeCell ref="AD17:AE17"/>
    <mergeCell ref="AF17:AG17"/>
    <mergeCell ref="AH17:AI17"/>
    <mergeCell ref="R2:S2"/>
    <mergeCell ref="T2:U2"/>
    <mergeCell ref="V2:W2"/>
    <mergeCell ref="X2:Y2"/>
    <mergeCell ref="AB2:AC2"/>
    <mergeCell ref="AN32:AO32"/>
    <mergeCell ref="AP32:AQ32"/>
    <mergeCell ref="AR32:AS32"/>
    <mergeCell ref="AB32:AC32"/>
    <mergeCell ref="AD32:AE32"/>
    <mergeCell ref="AF32:AG32"/>
    <mergeCell ref="AH32:AI32"/>
    <mergeCell ref="AL32:AM32"/>
  </mergeCells>
  <pageMargins left="0.74791666666666701" right="0.74791666666666701" top="0.98402777777777795" bottom="0.9840277777777779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3"/>
  <sheetViews>
    <sheetView zoomScaleNormal="100" workbookViewId="0">
      <selection activeCell="C17" sqref="C17"/>
    </sheetView>
  </sheetViews>
  <sheetFormatPr baseColWidth="10" defaultColWidth="13.26953125" defaultRowHeight="12.5"/>
  <cols>
    <col min="1" max="1" width="22.26953125" customWidth="1"/>
    <col min="3" max="4" width="21" customWidth="1"/>
    <col min="5" max="5" width="25.26953125" customWidth="1"/>
  </cols>
  <sheetData>
    <row r="1" spans="1:5" ht="13">
      <c r="A1" s="334" t="s">
        <v>20</v>
      </c>
      <c r="B1" s="334" t="s">
        <v>21</v>
      </c>
      <c r="C1" s="334" t="s">
        <v>275</v>
      </c>
      <c r="D1" s="334" t="s">
        <v>276</v>
      </c>
      <c r="E1" s="334" t="s">
        <v>277</v>
      </c>
    </row>
    <row r="2" spans="1:5" ht="13">
      <c r="A2" s="335" t="s">
        <v>40</v>
      </c>
      <c r="B2" s="336">
        <v>16</v>
      </c>
      <c r="C2" s="33">
        <v>10.095000000000001</v>
      </c>
      <c r="D2" s="34">
        <v>0.85299999999999998</v>
      </c>
      <c r="E2" s="35">
        <v>8.4497275879148098E-2</v>
      </c>
    </row>
    <row r="3" spans="1:5" ht="13">
      <c r="A3" s="337" t="s">
        <v>43</v>
      </c>
      <c r="B3" s="338">
        <v>22</v>
      </c>
      <c r="C3" s="45">
        <v>3.2</v>
      </c>
      <c r="D3" s="46">
        <v>2.9289999999999998</v>
      </c>
      <c r="E3" s="47">
        <v>0.91531249999999997</v>
      </c>
    </row>
    <row r="4" spans="1:5" ht="13">
      <c r="A4" s="337" t="s">
        <v>45</v>
      </c>
      <c r="B4" s="338">
        <v>19</v>
      </c>
      <c r="C4" s="45">
        <v>3.5</v>
      </c>
      <c r="D4" s="46">
        <v>0.78200000000000003</v>
      </c>
      <c r="E4" s="47">
        <v>0.223428571428571</v>
      </c>
    </row>
    <row r="5" spans="1:5" ht="13">
      <c r="A5" s="337" t="s">
        <v>48</v>
      </c>
      <c r="B5" s="338">
        <v>44</v>
      </c>
      <c r="C5" s="45">
        <v>1.85</v>
      </c>
      <c r="D5" s="46">
        <v>0.432</v>
      </c>
      <c r="E5" s="47">
        <v>0.23351351351351299</v>
      </c>
    </row>
    <row r="6" spans="1:5" ht="13">
      <c r="A6" s="337" t="s">
        <v>50</v>
      </c>
      <c r="B6" s="338">
        <v>49</v>
      </c>
      <c r="C6" s="45">
        <v>20</v>
      </c>
      <c r="D6" s="46">
        <v>2.3069999999999999</v>
      </c>
      <c r="E6" s="47">
        <v>0.11534999999999999</v>
      </c>
    </row>
    <row r="7" spans="1:5" ht="13">
      <c r="A7" s="337" t="s">
        <v>52</v>
      </c>
      <c r="B7" s="338">
        <v>48</v>
      </c>
      <c r="C7" s="45">
        <v>3.15</v>
      </c>
      <c r="D7" s="46">
        <v>0.78</v>
      </c>
      <c r="E7" s="47">
        <v>0.24761904761904799</v>
      </c>
    </row>
    <row r="8" spans="1:5" ht="13">
      <c r="A8" s="337" t="s">
        <v>54</v>
      </c>
      <c r="B8" s="338">
        <v>18</v>
      </c>
      <c r="C8" s="45">
        <v>2.5</v>
      </c>
      <c r="D8" s="46">
        <v>0.53900000000000003</v>
      </c>
      <c r="E8" s="47">
        <v>0.21560000000000001</v>
      </c>
    </row>
    <row r="9" spans="1:5" ht="13">
      <c r="A9" s="337" t="s">
        <v>56</v>
      </c>
      <c r="B9" s="338">
        <v>39</v>
      </c>
      <c r="C9" s="45">
        <v>11.7</v>
      </c>
      <c r="D9" s="46">
        <v>6.0549999999999997</v>
      </c>
      <c r="E9" s="47">
        <v>0.51752136752136801</v>
      </c>
    </row>
    <row r="10" spans="1:5" ht="13">
      <c r="A10" s="337" t="s">
        <v>57</v>
      </c>
      <c r="B10" s="338">
        <v>17</v>
      </c>
      <c r="C10" s="45">
        <v>5.2</v>
      </c>
      <c r="D10" s="46">
        <v>0.28499999999999998</v>
      </c>
      <c r="E10" s="47">
        <v>5.48076923076923E-2</v>
      </c>
    </row>
    <row r="11" spans="1:5" ht="13">
      <c r="A11" s="337" t="s">
        <v>58</v>
      </c>
      <c r="B11" s="338">
        <v>26</v>
      </c>
      <c r="C11" s="45">
        <v>5.0999999999999996</v>
      </c>
      <c r="D11" s="46">
        <v>0.77500000000000002</v>
      </c>
      <c r="E11" s="47">
        <v>0.15196078431372601</v>
      </c>
    </row>
    <row r="12" spans="1:5" ht="13">
      <c r="A12" s="339" t="s">
        <v>60</v>
      </c>
      <c r="B12" s="338">
        <v>62</v>
      </c>
      <c r="C12" s="59">
        <v>1.2</v>
      </c>
      <c r="D12" s="60">
        <v>0.252</v>
      </c>
      <c r="E12" s="61">
        <v>0.21</v>
      </c>
    </row>
    <row r="13" spans="1:5" ht="13">
      <c r="A13" s="340" t="s">
        <v>62</v>
      </c>
      <c r="B13" s="341">
        <v>21</v>
      </c>
      <c r="C13" s="59">
        <v>2.5</v>
      </c>
      <c r="D13" s="60">
        <v>0.129</v>
      </c>
      <c r="E13" s="61">
        <v>5.16E-2</v>
      </c>
    </row>
    <row r="14" spans="1:5" ht="13">
      <c r="A14" s="342"/>
      <c r="B14" s="343"/>
      <c r="C14" s="343"/>
      <c r="D14" s="69">
        <v>16.117999999999999</v>
      </c>
      <c r="E14" s="70">
        <v>0.23027359097078401</v>
      </c>
    </row>
    <row r="15" spans="1:5" ht="13">
      <c r="A15" s="344"/>
      <c r="B15" s="345"/>
      <c r="C15" s="345"/>
      <c r="D15" s="80"/>
      <c r="E15" s="81"/>
    </row>
    <row r="16" spans="1:5" ht="13">
      <c r="A16" s="346" t="s">
        <v>66</v>
      </c>
      <c r="B16" s="347">
        <v>1</v>
      </c>
      <c r="C16" s="90">
        <v>21.2</v>
      </c>
      <c r="D16" s="91">
        <v>2.79</v>
      </c>
      <c r="E16" s="92">
        <v>0.13160377358490599</v>
      </c>
    </row>
    <row r="17" spans="1:5" ht="13">
      <c r="A17" s="348"/>
      <c r="B17" s="349"/>
      <c r="C17" s="349"/>
      <c r="D17" s="80"/>
      <c r="E17" s="81"/>
    </row>
    <row r="18" spans="1:5" ht="13">
      <c r="A18" s="337" t="s">
        <v>69</v>
      </c>
      <c r="B18" s="338">
        <v>2</v>
      </c>
      <c r="C18" s="100">
        <v>4.9524999999999997</v>
      </c>
      <c r="D18" s="91">
        <v>2.0249999999999999</v>
      </c>
      <c r="E18" s="92">
        <v>0.40888440181726399</v>
      </c>
    </row>
    <row r="19" spans="1:5" ht="13">
      <c r="A19" s="350"/>
      <c r="B19" s="351"/>
      <c r="C19" s="351"/>
      <c r="D19" s="80"/>
      <c r="E19" s="81"/>
    </row>
    <row r="20" spans="1:5" ht="13">
      <c r="A20" s="337" t="s">
        <v>73</v>
      </c>
      <c r="B20" s="338">
        <v>9</v>
      </c>
      <c r="C20" s="111">
        <v>2</v>
      </c>
      <c r="D20" s="112">
        <v>0.72</v>
      </c>
      <c r="E20" s="113">
        <v>0.36</v>
      </c>
    </row>
    <row r="21" spans="1:5" ht="13">
      <c r="A21" s="337" t="s">
        <v>76</v>
      </c>
      <c r="B21" s="338">
        <v>23</v>
      </c>
      <c r="C21" s="116">
        <v>3.41</v>
      </c>
      <c r="D21" s="46">
        <v>1.256</v>
      </c>
      <c r="E21" s="47">
        <v>0.36832844574780099</v>
      </c>
    </row>
    <row r="22" spans="1:5" ht="13">
      <c r="A22" s="337" t="s">
        <v>78</v>
      </c>
      <c r="B22" s="338">
        <v>13</v>
      </c>
      <c r="C22" s="116">
        <v>2.1</v>
      </c>
      <c r="D22" s="46">
        <v>0.58699999999999997</v>
      </c>
      <c r="E22" s="47">
        <v>0.27952380952380901</v>
      </c>
    </row>
    <row r="23" spans="1:5" ht="13">
      <c r="A23" s="337" t="s">
        <v>81</v>
      </c>
      <c r="B23" s="338">
        <v>14</v>
      </c>
      <c r="C23" s="116">
        <v>4.93</v>
      </c>
      <c r="D23" s="46">
        <v>0.66</v>
      </c>
      <c r="E23" s="47">
        <v>0.133874239350913</v>
      </c>
    </row>
    <row r="24" spans="1:5" ht="13">
      <c r="A24" s="337" t="s">
        <v>84</v>
      </c>
      <c r="B24" s="338">
        <v>42</v>
      </c>
      <c r="C24" s="116">
        <v>44.6</v>
      </c>
      <c r="D24" s="46">
        <v>17.276</v>
      </c>
      <c r="E24" s="47">
        <v>0.38735426008968599</v>
      </c>
    </row>
    <row r="25" spans="1:5" ht="13">
      <c r="A25" s="337" t="s">
        <v>87</v>
      </c>
      <c r="B25" s="338">
        <v>30</v>
      </c>
      <c r="C25" s="116">
        <v>4.0999999999999996</v>
      </c>
      <c r="D25" s="46">
        <v>1.081</v>
      </c>
      <c r="E25" s="47">
        <v>0.26365853658536598</v>
      </c>
    </row>
    <row r="26" spans="1:5" ht="13">
      <c r="A26" s="337" t="s">
        <v>88</v>
      </c>
      <c r="B26" s="338">
        <v>11</v>
      </c>
      <c r="C26" s="116">
        <v>1.87</v>
      </c>
      <c r="D26" s="46">
        <v>0.71</v>
      </c>
      <c r="E26" s="47">
        <v>0.37967914438502698</v>
      </c>
    </row>
    <row r="27" spans="1:5" ht="13">
      <c r="A27" s="337" t="s">
        <v>89</v>
      </c>
      <c r="B27" s="338">
        <v>24</v>
      </c>
      <c r="C27" s="116">
        <v>8</v>
      </c>
      <c r="D27" s="46">
        <v>1.452</v>
      </c>
      <c r="E27" s="47">
        <v>0.18149999999999999</v>
      </c>
    </row>
    <row r="28" spans="1:5" ht="13">
      <c r="A28" s="337" t="s">
        <v>90</v>
      </c>
      <c r="B28" s="338">
        <v>12</v>
      </c>
      <c r="C28" s="116">
        <v>4</v>
      </c>
      <c r="D28" s="46">
        <v>1.0249999999999999</v>
      </c>
      <c r="E28" s="47">
        <v>0.25624999999999998</v>
      </c>
    </row>
    <row r="29" spans="1:5" ht="13">
      <c r="A29" s="337" t="s">
        <v>93</v>
      </c>
      <c r="B29" s="338">
        <v>38</v>
      </c>
      <c r="C29" s="116">
        <v>60.57</v>
      </c>
      <c r="D29" s="120">
        <v>10.56</v>
      </c>
      <c r="E29" s="47">
        <v>0.17434373452204099</v>
      </c>
    </row>
    <row r="30" spans="1:5" ht="13">
      <c r="A30" s="337" t="s">
        <v>96</v>
      </c>
      <c r="B30" s="338">
        <v>34</v>
      </c>
      <c r="C30" s="116">
        <v>2.1</v>
      </c>
      <c r="D30" s="46">
        <v>0.224</v>
      </c>
      <c r="E30" s="47">
        <v>0.10666666666666701</v>
      </c>
    </row>
    <row r="31" spans="1:5" ht="13">
      <c r="A31" s="352"/>
      <c r="B31" s="352"/>
      <c r="C31" s="352"/>
      <c r="D31" s="69">
        <v>35.551000000000002</v>
      </c>
      <c r="E31" s="70">
        <v>0.258214700755375</v>
      </c>
    </row>
    <row r="32" spans="1:5" ht="13">
      <c r="A32" s="350"/>
      <c r="B32" s="351"/>
      <c r="C32" s="351"/>
      <c r="D32" s="80"/>
      <c r="E32" s="81"/>
    </row>
    <row r="33" spans="1:5" ht="13">
      <c r="A33" s="337" t="s">
        <v>99</v>
      </c>
      <c r="B33" s="338">
        <v>28</v>
      </c>
      <c r="C33" s="45">
        <v>10</v>
      </c>
      <c r="D33" s="112">
        <v>1.3220000000000001</v>
      </c>
      <c r="E33" s="113">
        <v>0.13220000000000001</v>
      </c>
    </row>
    <row r="34" spans="1:5" ht="13">
      <c r="A34" s="337" t="s">
        <v>101</v>
      </c>
      <c r="B34" s="338">
        <v>43</v>
      </c>
      <c r="C34" s="45">
        <v>2.2999999999999998</v>
      </c>
      <c r="D34" s="46">
        <v>0.44400000000000001</v>
      </c>
      <c r="E34" s="47">
        <v>0.19304347826087001</v>
      </c>
    </row>
    <row r="35" spans="1:5" ht="13">
      <c r="A35" s="337" t="s">
        <v>103</v>
      </c>
      <c r="B35" s="338">
        <v>47</v>
      </c>
      <c r="C35" s="45">
        <v>3.4</v>
      </c>
      <c r="D35" s="46">
        <v>3.4</v>
      </c>
      <c r="E35" s="47">
        <v>1</v>
      </c>
    </row>
    <row r="36" spans="1:5" ht="13">
      <c r="A36" s="337" t="s">
        <v>105</v>
      </c>
      <c r="B36" s="338">
        <v>27</v>
      </c>
      <c r="C36" s="45">
        <v>24</v>
      </c>
      <c r="D36" s="46">
        <v>5.4420000000000002</v>
      </c>
      <c r="E36" s="47">
        <v>0.22675000000000001</v>
      </c>
    </row>
    <row r="37" spans="1:5" ht="13">
      <c r="A37" s="337" t="s">
        <v>107</v>
      </c>
      <c r="B37" s="338">
        <v>32</v>
      </c>
      <c r="C37" s="45">
        <v>2.5</v>
      </c>
      <c r="D37" s="46">
        <v>0.36</v>
      </c>
      <c r="E37" s="47">
        <v>0.14399999999999999</v>
      </c>
    </row>
    <row r="38" spans="1:5" ht="13">
      <c r="A38" s="337" t="s">
        <v>109</v>
      </c>
      <c r="B38" s="338">
        <v>25</v>
      </c>
      <c r="C38" s="45">
        <v>3.72</v>
      </c>
      <c r="D38" s="46">
        <v>0.76500000000000001</v>
      </c>
      <c r="E38" s="47">
        <v>0.20564516129032301</v>
      </c>
    </row>
    <row r="39" spans="1:5" ht="13">
      <c r="A39" s="337" t="s">
        <v>110</v>
      </c>
      <c r="B39" s="338">
        <v>29</v>
      </c>
      <c r="C39" s="45">
        <v>14</v>
      </c>
      <c r="D39" s="46">
        <v>3.16</v>
      </c>
      <c r="E39" s="47">
        <v>0.22571428571428601</v>
      </c>
    </row>
    <row r="40" spans="1:5" ht="13">
      <c r="A40" s="337" t="s">
        <v>112</v>
      </c>
      <c r="B40" s="338">
        <v>15</v>
      </c>
      <c r="C40" s="45">
        <v>2.9249999999999998</v>
      </c>
      <c r="D40" s="46">
        <v>1.3260000000000001</v>
      </c>
      <c r="E40" s="47">
        <v>0.45333333333333298</v>
      </c>
    </row>
    <row r="41" spans="1:5" ht="13">
      <c r="A41" s="337" t="s">
        <v>114</v>
      </c>
      <c r="B41" s="338">
        <v>46</v>
      </c>
      <c r="C41" s="45">
        <v>1.67</v>
      </c>
      <c r="D41" s="46">
        <v>0.17599999999999999</v>
      </c>
      <c r="E41" s="47">
        <v>0.105389221556886</v>
      </c>
    </row>
    <row r="42" spans="1:5" ht="13">
      <c r="A42" s="339" t="s">
        <v>116</v>
      </c>
      <c r="B42" s="338">
        <v>52</v>
      </c>
      <c r="C42" s="45">
        <v>4.95</v>
      </c>
      <c r="D42" s="46">
        <v>1.113</v>
      </c>
      <c r="E42" s="47">
        <v>0.22484848484848499</v>
      </c>
    </row>
    <row r="43" spans="1:5" ht="13">
      <c r="A43" s="352"/>
      <c r="B43" s="352"/>
      <c r="C43" s="352"/>
      <c r="D43" s="69">
        <v>17.507999999999999</v>
      </c>
      <c r="E43" s="70">
        <v>0.25204059598358902</v>
      </c>
    </row>
    <row r="44" spans="1:5" ht="13">
      <c r="A44" s="350"/>
      <c r="B44" s="351"/>
      <c r="C44" s="351"/>
      <c r="D44" s="80"/>
      <c r="E44" s="81"/>
    </row>
    <row r="45" spans="1:5" ht="13">
      <c r="A45" s="337" t="s">
        <v>121</v>
      </c>
      <c r="B45" s="338">
        <v>3</v>
      </c>
      <c r="C45" s="134">
        <v>8.1999999999999993</v>
      </c>
      <c r="D45" s="135">
        <v>5.53</v>
      </c>
      <c r="E45" s="92">
        <v>0.67439024390243896</v>
      </c>
    </row>
    <row r="46" spans="1:5" ht="13">
      <c r="A46" s="350"/>
      <c r="B46" s="351"/>
      <c r="C46" s="351"/>
      <c r="D46" s="80"/>
      <c r="E46" s="81"/>
    </row>
    <row r="47" spans="1:5" ht="13">
      <c r="A47" s="337" t="s">
        <v>125</v>
      </c>
      <c r="B47" s="338">
        <v>10</v>
      </c>
      <c r="C47" s="139">
        <v>10.9</v>
      </c>
      <c r="D47" s="46">
        <v>3.879</v>
      </c>
      <c r="E47" s="47">
        <v>0.35587155963302802</v>
      </c>
    </row>
    <row r="48" spans="1:5" ht="13">
      <c r="A48" s="337" t="s">
        <v>129</v>
      </c>
      <c r="B48" s="338">
        <v>8</v>
      </c>
      <c r="C48" s="45">
        <v>18.8</v>
      </c>
      <c r="D48" s="46">
        <v>7.68</v>
      </c>
      <c r="E48" s="47">
        <v>0.40851063829787199</v>
      </c>
    </row>
    <row r="49" spans="1:5" ht="13">
      <c r="A49" s="337" t="s">
        <v>132</v>
      </c>
      <c r="B49" s="338">
        <v>35</v>
      </c>
      <c r="C49" s="45">
        <v>7.8</v>
      </c>
      <c r="D49" s="46">
        <v>4.1870000000000003</v>
      </c>
      <c r="E49" s="47">
        <v>0.53679487179487195</v>
      </c>
    </row>
    <row r="50" spans="1:5" ht="13">
      <c r="A50" s="337" t="s">
        <v>134</v>
      </c>
      <c r="B50" s="338">
        <v>6</v>
      </c>
      <c r="C50" s="45">
        <v>3.4</v>
      </c>
      <c r="D50" s="46">
        <v>0.64600000000000002</v>
      </c>
      <c r="E50" s="47">
        <v>0.19</v>
      </c>
    </row>
    <row r="51" spans="1:5" ht="13">
      <c r="A51" s="337" t="s">
        <v>136</v>
      </c>
      <c r="B51" s="338">
        <v>7</v>
      </c>
      <c r="C51" s="139">
        <v>11.35</v>
      </c>
      <c r="D51" s="46">
        <v>6.5540000000000003</v>
      </c>
      <c r="E51" s="47">
        <v>0.57744493392070495</v>
      </c>
    </row>
    <row r="52" spans="1:5" ht="13">
      <c r="A52" s="337" t="s">
        <v>139</v>
      </c>
      <c r="B52" s="338">
        <v>33</v>
      </c>
      <c r="C52" s="45">
        <v>4.968</v>
      </c>
      <c r="D52" s="46">
        <v>1.331</v>
      </c>
      <c r="E52" s="47">
        <v>0.26791465378421903</v>
      </c>
    </row>
    <row r="53" spans="1:5" ht="13">
      <c r="A53" s="337" t="s">
        <v>142</v>
      </c>
      <c r="B53" s="338">
        <v>4</v>
      </c>
      <c r="C53" s="45">
        <v>15</v>
      </c>
      <c r="D53" s="46">
        <v>1.3740000000000001</v>
      </c>
      <c r="E53" s="47">
        <v>9.1600000000000001E-2</v>
      </c>
    </row>
    <row r="54" spans="1:5" ht="13">
      <c r="A54" s="337" t="s">
        <v>144</v>
      </c>
      <c r="B54" s="338">
        <v>5</v>
      </c>
      <c r="C54" s="45">
        <v>3.2</v>
      </c>
      <c r="D54" s="46">
        <v>1.0580000000000001</v>
      </c>
      <c r="E54" s="47">
        <v>0.330625</v>
      </c>
    </row>
    <row r="55" spans="1:5" ht="13">
      <c r="A55" s="339" t="s">
        <v>145</v>
      </c>
      <c r="B55" s="338">
        <v>54</v>
      </c>
      <c r="C55" s="45">
        <v>1.1579999999999999</v>
      </c>
      <c r="D55" s="46">
        <v>7.4999999999999997E-2</v>
      </c>
      <c r="E55" s="47">
        <v>6.4766839378238406E-2</v>
      </c>
    </row>
    <row r="56" spans="1:5" ht="13">
      <c r="A56" s="339" t="s">
        <v>149</v>
      </c>
      <c r="B56" s="338">
        <v>51</v>
      </c>
      <c r="C56" s="45">
        <v>0.78</v>
      </c>
      <c r="D56" s="46">
        <v>0.03</v>
      </c>
      <c r="E56" s="47">
        <v>3.8461538461538498E-2</v>
      </c>
    </row>
    <row r="57" spans="1:5" ht="13">
      <c r="A57" s="339" t="s">
        <v>151</v>
      </c>
      <c r="B57" s="338">
        <v>53</v>
      </c>
      <c r="C57" s="45">
        <v>0.64100000000000001</v>
      </c>
      <c r="D57" s="46">
        <v>0.04</v>
      </c>
      <c r="E57" s="47">
        <v>6.2402496099844003E-2</v>
      </c>
    </row>
    <row r="58" spans="1:5" ht="13">
      <c r="A58" s="352"/>
      <c r="B58" s="352"/>
      <c r="C58" s="352"/>
      <c r="D58" s="69">
        <v>26.853999999999999</v>
      </c>
      <c r="E58" s="47">
        <v>0.344295293408721</v>
      </c>
    </row>
    <row r="59" spans="1:5" ht="13">
      <c r="A59" s="353"/>
      <c r="B59" s="354"/>
      <c r="C59" s="354"/>
      <c r="D59" s="80"/>
      <c r="E59" s="81"/>
    </row>
    <row r="60" spans="1:5" ht="13">
      <c r="A60" s="355"/>
      <c r="B60" s="356"/>
      <c r="C60" s="356"/>
      <c r="D60" s="91">
        <v>106.376</v>
      </c>
      <c r="E60" s="92">
        <v>0.27311647682415102</v>
      </c>
    </row>
    <row r="61" spans="1:5" ht="13">
      <c r="A61" s="357"/>
      <c r="B61" s="358"/>
      <c r="C61" s="358"/>
      <c r="D61" s="156">
        <v>-264.21100000000001</v>
      </c>
      <c r="E61" s="156"/>
    </row>
    <row r="62" spans="1:5" ht="13">
      <c r="A62" s="359"/>
      <c r="B62" s="360"/>
      <c r="C62" s="360"/>
      <c r="D62" s="159">
        <v>-11.505000000000001</v>
      </c>
      <c r="E62" s="159"/>
    </row>
    <row r="63" spans="1:5" ht="13">
      <c r="A63" s="361" t="s">
        <v>20</v>
      </c>
      <c r="B63" s="361" t="s">
        <v>21</v>
      </c>
      <c r="C63" s="361"/>
      <c r="D63" s="170"/>
      <c r="E63" s="171">
        <v>44896</v>
      </c>
    </row>
    <row r="64" spans="1:5" ht="13">
      <c r="A64" s="362" t="s">
        <v>174</v>
      </c>
      <c r="B64" s="363">
        <v>50</v>
      </c>
      <c r="C64" s="178">
        <v>1.1000000000000001</v>
      </c>
      <c r="D64" s="179"/>
      <c r="E64" s="184"/>
    </row>
    <row r="65" spans="1:5" ht="13">
      <c r="A65" s="364" t="s">
        <v>179</v>
      </c>
      <c r="B65" s="363">
        <v>37</v>
      </c>
      <c r="C65" s="178">
        <f>MAX(suivi_droits_acquis_Entraygues!$B2:$O2, )</f>
        <v>32.954999999999998</v>
      </c>
      <c r="D65" s="179"/>
      <c r="E65" s="184"/>
    </row>
    <row r="66" spans="1:5">
      <c r="A66" s="365" t="s">
        <v>184</v>
      </c>
      <c r="B66" s="366">
        <v>40</v>
      </c>
      <c r="C66" s="203">
        <f>2.5+20</f>
        <v>22.5</v>
      </c>
      <c r="D66" s="205"/>
      <c r="E66" s="206"/>
    </row>
    <row r="67" spans="1:5">
      <c r="A67" s="365" t="s">
        <v>188</v>
      </c>
      <c r="B67" s="366">
        <v>60</v>
      </c>
      <c r="C67" s="203">
        <v>5</v>
      </c>
      <c r="D67" s="205"/>
      <c r="E67" s="206"/>
    </row>
    <row r="68" spans="1:5">
      <c r="A68" s="367" t="s">
        <v>191</v>
      </c>
      <c r="B68" s="366">
        <v>61</v>
      </c>
      <c r="C68" s="210">
        <v>2.8</v>
      </c>
      <c r="D68" s="215"/>
      <c r="E68" s="218"/>
    </row>
    <row r="69" spans="1:5" ht="25">
      <c r="A69" s="365" t="s">
        <v>196</v>
      </c>
      <c r="B69" s="366">
        <v>36</v>
      </c>
      <c r="C69" s="203">
        <v>48</v>
      </c>
      <c r="D69" s="181">
        <v>8.9049999999999994</v>
      </c>
      <c r="E69" s="223">
        <v>0.185520833333333</v>
      </c>
    </row>
    <row r="70" spans="1:5">
      <c r="A70" s="365" t="s">
        <v>198</v>
      </c>
      <c r="B70" s="366">
        <v>41</v>
      </c>
      <c r="C70" s="203">
        <v>53</v>
      </c>
      <c r="D70" s="205"/>
      <c r="E70" s="206"/>
    </row>
    <row r="71" spans="1:5">
      <c r="A71" s="368" t="s">
        <v>202</v>
      </c>
      <c r="B71" s="369">
        <v>45</v>
      </c>
      <c r="C71" s="232">
        <v>8.39</v>
      </c>
      <c r="D71" s="235"/>
      <c r="E71" s="236"/>
    </row>
    <row r="72" spans="1:5" ht="13">
      <c r="A72" s="370"/>
      <c r="B72" s="370"/>
      <c r="C72" s="370"/>
      <c r="D72" s="246"/>
      <c r="E72" s="247"/>
    </row>
    <row r="73" spans="1:5" ht="13">
      <c r="A73" s="371"/>
      <c r="B73" s="372"/>
      <c r="C73" s="372"/>
      <c r="D73" s="254"/>
      <c r="E73" s="255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38"/>
  </sheetPr>
  <dimension ref="A1:BO122"/>
  <sheetViews>
    <sheetView topLeftCell="B1" zoomScaleNormal="100" workbookViewId="0">
      <pane xSplit="8330" ySplit="1080" topLeftCell="AN52" activePane="bottomRight"/>
      <selection activeCell="BI26" sqref="BI26"/>
      <selection pane="topRight" activeCell="AX1" sqref="AX1:AX1048576"/>
      <selection pane="bottomLeft" activeCell="A68" sqref="A68:XFD68"/>
      <selection pane="bottomRight" activeCell="AY68" sqref="AY68"/>
    </sheetView>
  </sheetViews>
  <sheetFormatPr baseColWidth="10" defaultColWidth="13.453125" defaultRowHeight="13"/>
  <cols>
    <col min="1" max="1" width="18.453125" customWidth="1"/>
    <col min="2" max="2" width="30.453125" customWidth="1"/>
    <col min="3" max="3" width="9.26953125" style="9" customWidth="1"/>
    <col min="4" max="4" width="17.453125" customWidth="1"/>
    <col min="11" max="11" width="12.7265625" style="10" customWidth="1"/>
    <col min="12" max="12" width="8.81640625" style="10" customWidth="1"/>
    <col min="13" max="13" width="14.26953125" customWidth="1"/>
    <col min="16" max="16" width="16.1796875" customWidth="1"/>
    <col min="17" max="18" width="14.1796875" customWidth="1"/>
    <col min="19" max="19" width="8.81640625" customWidth="1"/>
    <col min="21" max="21" width="8.81640625" customWidth="1"/>
    <col min="23" max="23" width="8.81640625" customWidth="1"/>
    <col min="25" max="25" width="9" customWidth="1"/>
    <col min="26" max="26" width="10.7265625" customWidth="1"/>
    <col min="27" max="27" width="8.7265625" customWidth="1"/>
    <col min="28" max="28" width="10.7265625" customWidth="1"/>
    <col min="29" max="29" width="8.7265625" customWidth="1"/>
    <col min="30" max="30" width="10.7265625" customWidth="1"/>
    <col min="31" max="31" width="8.7265625" customWidth="1"/>
    <col min="32" max="32" width="10.7265625" customWidth="1"/>
    <col min="33" max="33" width="8.7265625" customWidth="1"/>
    <col min="34" max="34" width="10.7265625" customWidth="1"/>
    <col min="35" max="35" width="8.1796875" customWidth="1"/>
    <col min="36" max="36" width="10.7265625" customWidth="1"/>
    <col min="37" max="37" width="8.1796875" customWidth="1"/>
    <col min="39" max="39" width="8.1796875" customWidth="1"/>
    <col min="40" max="40" width="11.54296875" customWidth="1"/>
    <col min="41" max="41" width="9.453125" customWidth="1"/>
    <col min="42" max="42" width="11" customWidth="1"/>
    <col min="43" max="43" width="11.7265625" customWidth="1"/>
    <col min="44" max="44" width="11" customWidth="1"/>
    <col min="45" max="45" width="7.453125" customWidth="1"/>
    <col min="46" max="46" width="11" customWidth="1"/>
    <col min="47" max="47" width="11.54296875" customWidth="1"/>
    <col min="48" max="48" width="10.81640625" customWidth="1"/>
    <col min="49" max="49" width="7.453125" customWidth="1"/>
    <col min="50" max="50" width="14.54296875" customWidth="1"/>
    <col min="51" max="51" width="7.81640625" customWidth="1"/>
    <col min="52" max="52" width="11.81640625" customWidth="1"/>
    <col min="53" max="53" width="7.453125" customWidth="1"/>
    <col min="54" max="54" width="10.81640625" customWidth="1"/>
    <col min="55" max="55" width="9.1796875" customWidth="1"/>
    <col min="56" max="56" width="10.81640625" customWidth="1"/>
    <col min="57" max="57" width="7.81640625" customWidth="1"/>
    <col min="58" max="58" width="10.26953125" customWidth="1"/>
    <col min="59" max="59" width="9.81640625" customWidth="1"/>
    <col min="60" max="60" width="10.26953125" customWidth="1"/>
    <col min="61" max="61" width="7.453125" customWidth="1"/>
    <col min="62" max="62" width="10.26953125" customWidth="1"/>
    <col min="63" max="63" width="56.1796875" style="11" customWidth="1"/>
    <col min="64" max="64" width="42" style="12" customWidth="1"/>
  </cols>
  <sheetData>
    <row r="1" spans="1:67" s="24" customFormat="1" ht="41.25" customHeight="1" thickBot="1">
      <c r="A1" s="13" t="s">
        <v>19</v>
      </c>
      <c r="B1" s="14" t="s">
        <v>20</v>
      </c>
      <c r="C1" s="14" t="s">
        <v>21</v>
      </c>
      <c r="D1" s="15" t="s">
        <v>22</v>
      </c>
      <c r="E1" s="16" t="s">
        <v>23</v>
      </c>
      <c r="F1" s="17" t="s">
        <v>24</v>
      </c>
      <c r="G1" s="17" t="s">
        <v>25</v>
      </c>
      <c r="H1" s="17" t="s">
        <v>26</v>
      </c>
      <c r="I1" s="17" t="s">
        <v>27</v>
      </c>
      <c r="J1" s="17" t="s">
        <v>28</v>
      </c>
      <c r="K1" s="17" t="s">
        <v>29</v>
      </c>
      <c r="L1" s="18" t="s">
        <v>30</v>
      </c>
      <c r="M1" s="19" t="s">
        <v>31</v>
      </c>
      <c r="N1" s="19" t="s">
        <v>32</v>
      </c>
      <c r="O1" s="20" t="s">
        <v>33</v>
      </c>
      <c r="P1" s="20" t="s">
        <v>34</v>
      </c>
      <c r="Q1" s="20" t="s">
        <v>35</v>
      </c>
      <c r="R1" s="20" t="s">
        <v>36</v>
      </c>
      <c r="S1" s="21"/>
      <c r="T1" s="22">
        <v>44927</v>
      </c>
      <c r="U1" s="21"/>
      <c r="V1" s="22">
        <v>44958</v>
      </c>
      <c r="W1" s="21"/>
      <c r="X1" s="22">
        <v>44986</v>
      </c>
      <c r="Y1" s="21"/>
      <c r="Z1" s="22">
        <v>45017</v>
      </c>
      <c r="AA1" s="21"/>
      <c r="AB1" s="22">
        <v>45047</v>
      </c>
      <c r="AC1" s="21"/>
      <c r="AD1" s="22">
        <v>45078</v>
      </c>
      <c r="AE1" s="21"/>
      <c r="AF1" s="22">
        <v>45087</v>
      </c>
      <c r="AG1" s="21"/>
      <c r="AH1" s="22">
        <v>45097</v>
      </c>
      <c r="AI1" s="21"/>
      <c r="AJ1" s="22">
        <v>45108</v>
      </c>
      <c r="AK1" s="21"/>
      <c r="AL1" s="22">
        <v>45117</v>
      </c>
      <c r="AM1" s="21"/>
      <c r="AN1" s="22">
        <v>45127</v>
      </c>
      <c r="AO1" s="21"/>
      <c r="AP1" s="22">
        <v>45139</v>
      </c>
      <c r="AQ1" s="21"/>
      <c r="AR1" s="22">
        <v>45148</v>
      </c>
      <c r="AS1" s="21"/>
      <c r="AT1" s="22">
        <v>45158</v>
      </c>
      <c r="AU1" s="21"/>
      <c r="AV1" s="22">
        <v>45170</v>
      </c>
      <c r="AW1" s="21"/>
      <c r="AX1" s="22">
        <v>45179</v>
      </c>
      <c r="AY1" s="21"/>
      <c r="AZ1" s="22">
        <v>45189</v>
      </c>
      <c r="BA1" s="21"/>
      <c r="BB1" s="22">
        <v>45200</v>
      </c>
      <c r="BC1" s="21"/>
      <c r="BD1" s="22">
        <v>45209</v>
      </c>
      <c r="BE1" s="21"/>
      <c r="BF1" s="22">
        <v>45219</v>
      </c>
      <c r="BG1" s="21"/>
      <c r="BH1" s="22">
        <v>45231</v>
      </c>
      <c r="BI1" s="21"/>
      <c r="BJ1" s="22">
        <v>45261</v>
      </c>
      <c r="BK1" s="23" t="s">
        <v>37</v>
      </c>
      <c r="BL1" s="23" t="s">
        <v>38</v>
      </c>
    </row>
    <row r="2" spans="1:67">
      <c r="A2" s="25" t="s">
        <v>39</v>
      </c>
      <c r="B2" s="26" t="s">
        <v>40</v>
      </c>
      <c r="C2" s="27">
        <v>16</v>
      </c>
      <c r="D2" s="28" t="s">
        <v>41</v>
      </c>
      <c r="E2" s="29">
        <v>10.095000000000001</v>
      </c>
      <c r="F2" s="30">
        <v>10.095000000000001</v>
      </c>
      <c r="G2" s="30">
        <v>10.095000000000001</v>
      </c>
      <c r="H2" s="30">
        <v>10.095000000000001</v>
      </c>
      <c r="I2" s="30">
        <v>10.095000000000001</v>
      </c>
      <c r="J2" s="30">
        <v>10.095000000000001</v>
      </c>
      <c r="K2" s="30">
        <v>10.095000000000001</v>
      </c>
      <c r="L2" s="31">
        <v>10.095000000000001</v>
      </c>
      <c r="M2" s="32">
        <v>10.095000000000001</v>
      </c>
      <c r="N2" s="32">
        <v>10.095000000000001</v>
      </c>
      <c r="O2" s="33">
        <v>10.095000000000001</v>
      </c>
      <c r="P2" s="33">
        <v>10.095000000000001</v>
      </c>
      <c r="Q2" s="33">
        <v>10.095000000000001</v>
      </c>
      <c r="R2" s="33">
        <v>10.095000000000001</v>
      </c>
      <c r="S2" s="34">
        <v>1.2</v>
      </c>
      <c r="T2" s="35">
        <v>0.1188707280832095</v>
      </c>
      <c r="U2" s="34">
        <v>5.34</v>
      </c>
      <c r="V2" s="35">
        <v>0.52897473997028222</v>
      </c>
      <c r="W2" s="34">
        <v>5.5</v>
      </c>
      <c r="X2" s="35">
        <v>0.54482417038137687</v>
      </c>
      <c r="Y2" s="34">
        <v>5.76</v>
      </c>
      <c r="Z2" s="35">
        <v>0.57057949479940562</v>
      </c>
      <c r="AA2" s="34">
        <v>6.6970000000000001</v>
      </c>
      <c r="AB2" s="35">
        <v>0.66339772164437838</v>
      </c>
      <c r="AC2" s="34">
        <v>10.095000000000001</v>
      </c>
      <c r="AD2" s="35">
        <v>1</v>
      </c>
      <c r="AE2" s="34">
        <v>10.095000000000001</v>
      </c>
      <c r="AF2" s="35">
        <v>1</v>
      </c>
      <c r="AG2" s="34">
        <v>10.095000000000001</v>
      </c>
      <c r="AH2" s="35">
        <v>1</v>
      </c>
      <c r="AI2" s="34">
        <v>10.095000000000001</v>
      </c>
      <c r="AJ2" s="35">
        <v>1</v>
      </c>
      <c r="AK2" s="34">
        <v>10.055999999999999</v>
      </c>
      <c r="AL2" s="35">
        <v>0.99613670133729559</v>
      </c>
      <c r="AM2" s="34">
        <v>9.4253999999999998</v>
      </c>
      <c r="AN2" s="35">
        <v>0.93367013372956897</v>
      </c>
      <c r="AO2" s="34">
        <v>8.8756000000000004</v>
      </c>
      <c r="AP2" s="35">
        <v>0.87920752847944528</v>
      </c>
      <c r="AQ2" s="34">
        <v>8.1295000000000002</v>
      </c>
      <c r="AR2" s="35">
        <v>0.80529965329370967</v>
      </c>
      <c r="AS2" s="34">
        <v>6.5533999999999999</v>
      </c>
      <c r="AT2" s="35">
        <v>0.649172857850421</v>
      </c>
      <c r="AU2" s="34">
        <v>5.4339000000000004</v>
      </c>
      <c r="AV2" s="35">
        <v>0.53827637444279341</v>
      </c>
      <c r="AW2" s="34">
        <v>5.2426000000000004</v>
      </c>
      <c r="AX2" s="35">
        <v>0.51932639920752843</v>
      </c>
      <c r="AY2" s="34">
        <v>5.0570000000000004</v>
      </c>
      <c r="AZ2" s="35">
        <v>0.50094105993065874</v>
      </c>
      <c r="BA2" s="34">
        <v>4.9086999999999996</v>
      </c>
      <c r="BB2" s="35">
        <v>0.48625061911837536</v>
      </c>
      <c r="BC2" s="34">
        <v>4.7773000000000003</v>
      </c>
      <c r="BD2" s="35">
        <v>0.47323427439326399</v>
      </c>
      <c r="BE2" s="34">
        <v>4.641</v>
      </c>
      <c r="BF2" s="35">
        <v>0.45973254086181276</v>
      </c>
      <c r="BG2" s="34">
        <v>4.5389999999999997</v>
      </c>
      <c r="BH2" s="35">
        <v>0.44962852897473993</v>
      </c>
      <c r="BI2" s="34">
        <v>5.8719999999999999</v>
      </c>
      <c r="BJ2" s="35">
        <v>0.5816740960871718</v>
      </c>
      <c r="BK2" s="375" t="s">
        <v>42</v>
      </c>
    </row>
    <row r="3" spans="1:67">
      <c r="A3" s="37" t="s">
        <v>39</v>
      </c>
      <c r="B3" s="38" t="s">
        <v>43</v>
      </c>
      <c r="C3" s="39">
        <v>22</v>
      </c>
      <c r="D3" s="40" t="s">
        <v>44</v>
      </c>
      <c r="E3" s="41">
        <v>3.2</v>
      </c>
      <c r="F3" s="42">
        <v>3.2</v>
      </c>
      <c r="G3" s="42">
        <v>3.2</v>
      </c>
      <c r="H3" s="42">
        <v>3.2</v>
      </c>
      <c r="I3" s="42">
        <v>3.2</v>
      </c>
      <c r="J3" s="42">
        <v>3.2</v>
      </c>
      <c r="K3" s="42">
        <v>3.2</v>
      </c>
      <c r="L3" s="43">
        <v>3.2</v>
      </c>
      <c r="M3" s="44">
        <v>3.2</v>
      </c>
      <c r="N3" s="44">
        <v>3.2</v>
      </c>
      <c r="O3" s="45">
        <v>3.2</v>
      </c>
      <c r="P3" s="45">
        <v>3.2</v>
      </c>
      <c r="Q3" s="45">
        <v>3.2</v>
      </c>
      <c r="R3" s="45">
        <v>3.2</v>
      </c>
      <c r="S3" s="46">
        <v>3.121</v>
      </c>
      <c r="T3" s="47">
        <v>0.97531249999999992</v>
      </c>
      <c r="U3" s="46">
        <v>3.2</v>
      </c>
      <c r="V3" s="47">
        <v>1</v>
      </c>
      <c r="W3" s="46">
        <v>3.2</v>
      </c>
      <c r="X3" s="47">
        <v>1</v>
      </c>
      <c r="Y3" s="46">
        <v>3.117</v>
      </c>
      <c r="Z3" s="47">
        <v>0.97406249999999994</v>
      </c>
      <c r="AA3" s="46">
        <v>3.2</v>
      </c>
      <c r="AB3" s="47">
        <v>1</v>
      </c>
      <c r="AC3" s="46">
        <v>3.2</v>
      </c>
      <c r="AD3" s="47">
        <v>1</v>
      </c>
      <c r="AE3" s="46">
        <v>3.2</v>
      </c>
      <c r="AF3" s="47">
        <v>1</v>
      </c>
      <c r="AG3" s="46">
        <v>3.2</v>
      </c>
      <c r="AH3" s="47">
        <v>1</v>
      </c>
      <c r="AI3" s="46">
        <v>3.1095999999999999</v>
      </c>
      <c r="AJ3" s="47">
        <v>0.97174999999999989</v>
      </c>
      <c r="AK3" s="46">
        <v>3.1246</v>
      </c>
      <c r="AL3" s="47">
        <v>0.97643749999999996</v>
      </c>
      <c r="AM3" s="46">
        <v>3.1032999999999999</v>
      </c>
      <c r="AN3" s="47">
        <v>0.96978124999999993</v>
      </c>
      <c r="AO3" s="46">
        <v>3.0055999999999998</v>
      </c>
      <c r="AP3" s="47">
        <v>0.93924999999999992</v>
      </c>
      <c r="AQ3" s="46">
        <v>2.7665999999999999</v>
      </c>
      <c r="AR3" s="47">
        <v>0.8645624999999999</v>
      </c>
      <c r="AS3" s="46">
        <v>2.3898000000000001</v>
      </c>
      <c r="AT3" s="47">
        <v>0.74681249999999999</v>
      </c>
      <c r="AU3" s="46">
        <v>2.0232999999999999</v>
      </c>
      <c r="AV3" s="47">
        <v>0.63228124999999991</v>
      </c>
      <c r="AW3" s="46">
        <v>2.0249999999999999</v>
      </c>
      <c r="AX3" s="47">
        <v>0.63281249999999989</v>
      </c>
      <c r="AY3" s="46">
        <v>2.1787000000000001</v>
      </c>
      <c r="AZ3" s="47">
        <v>0.68084374999999997</v>
      </c>
      <c r="BA3" s="46">
        <v>2.2000000000000002</v>
      </c>
      <c r="BB3" s="47">
        <v>0.6875</v>
      </c>
      <c r="BC3" s="46">
        <v>2.1</v>
      </c>
      <c r="BD3" s="47">
        <v>0.65625</v>
      </c>
      <c r="BE3" s="46">
        <v>2.02</v>
      </c>
      <c r="BF3" s="47">
        <v>0.63124999999999998</v>
      </c>
      <c r="BG3" s="46">
        <v>2.4809999999999999</v>
      </c>
      <c r="BH3" s="47">
        <v>0.77531249999999996</v>
      </c>
      <c r="BI3" s="46">
        <v>3.129</v>
      </c>
      <c r="BJ3" s="47">
        <v>0.97781249999999997</v>
      </c>
      <c r="BK3" s="375" t="s">
        <v>42</v>
      </c>
    </row>
    <row r="4" spans="1:67">
      <c r="A4" s="37" t="s">
        <v>39</v>
      </c>
      <c r="B4" s="38" t="s">
        <v>45</v>
      </c>
      <c r="C4" s="39">
        <v>19</v>
      </c>
      <c r="D4" s="40" t="s">
        <v>46</v>
      </c>
      <c r="E4" s="41">
        <v>3.5</v>
      </c>
      <c r="F4" s="42">
        <v>3.5</v>
      </c>
      <c r="G4" s="42">
        <v>3.5</v>
      </c>
      <c r="H4" s="42">
        <v>3.5</v>
      </c>
      <c r="I4" s="42">
        <v>3.5</v>
      </c>
      <c r="J4" s="42">
        <v>3.5</v>
      </c>
      <c r="K4" s="42">
        <v>3.5</v>
      </c>
      <c r="L4" s="43">
        <v>3.5</v>
      </c>
      <c r="M4" s="44">
        <v>3.5</v>
      </c>
      <c r="N4" s="44">
        <v>3.5</v>
      </c>
      <c r="O4" s="45">
        <v>3.5</v>
      </c>
      <c r="P4" s="45">
        <v>3.5</v>
      </c>
      <c r="Q4" s="45">
        <v>3.5</v>
      </c>
      <c r="R4" s="45">
        <v>3.5</v>
      </c>
      <c r="S4" s="46">
        <v>1.163</v>
      </c>
      <c r="T4" s="47">
        <v>0.3322857142857143</v>
      </c>
      <c r="U4" s="46">
        <v>2.39</v>
      </c>
      <c r="V4" s="47">
        <v>0.68285714285714294</v>
      </c>
      <c r="W4" s="46">
        <v>2.61</v>
      </c>
      <c r="X4" s="47">
        <v>0.74571428571428566</v>
      </c>
      <c r="Y4" s="46">
        <v>2.8319999999999999</v>
      </c>
      <c r="Z4" s="47">
        <v>0.80914285714285705</v>
      </c>
      <c r="AA4" s="46">
        <v>3.0950000000000002</v>
      </c>
      <c r="AB4" s="47">
        <v>0.88428571428571434</v>
      </c>
      <c r="AC4" s="46">
        <v>3.2909999999999999</v>
      </c>
      <c r="AD4" s="47">
        <v>0.94028571428571428</v>
      </c>
      <c r="AE4" s="46">
        <v>3.3460000000000001</v>
      </c>
      <c r="AF4" s="47">
        <v>0.95600000000000007</v>
      </c>
      <c r="AG4" s="46">
        <v>3.4477000000000002</v>
      </c>
      <c r="AH4" s="47">
        <v>0.98505714285714296</v>
      </c>
      <c r="AI4" s="46">
        <v>3.4782999999999999</v>
      </c>
      <c r="AJ4" s="47">
        <v>0.99380000000000002</v>
      </c>
      <c r="AK4" s="46">
        <v>3.4275000000000002</v>
      </c>
      <c r="AL4" s="47">
        <v>0.97928571428571431</v>
      </c>
      <c r="AM4" s="46">
        <v>3.3140000000000001</v>
      </c>
      <c r="AN4" s="47">
        <v>0.94685714285714284</v>
      </c>
      <c r="AO4" s="46">
        <v>3.1221999999999999</v>
      </c>
      <c r="AP4" s="47">
        <v>0.89205714285714277</v>
      </c>
      <c r="AQ4" s="46">
        <v>2.8226</v>
      </c>
      <c r="AR4" s="47">
        <v>0.80645714285714287</v>
      </c>
      <c r="AS4" s="46">
        <v>2.3441999999999998</v>
      </c>
      <c r="AT4" s="47">
        <v>0.66977142857142857</v>
      </c>
      <c r="AU4" s="46">
        <v>1.96</v>
      </c>
      <c r="AV4" s="47">
        <v>0.55999999999999994</v>
      </c>
      <c r="AW4" s="46">
        <v>1.9041999999999999</v>
      </c>
      <c r="AX4" s="47">
        <v>0.54405714285714279</v>
      </c>
      <c r="AY4" s="46">
        <v>1.8808</v>
      </c>
      <c r="AZ4" s="47">
        <v>0.53737142857142861</v>
      </c>
      <c r="BA4" s="46">
        <v>1.861</v>
      </c>
      <c r="BB4" s="47">
        <v>0.53171428571428569</v>
      </c>
      <c r="BC4" s="46">
        <v>1.8181</v>
      </c>
      <c r="BD4" s="47">
        <v>0.51945714285714284</v>
      </c>
      <c r="BE4" s="46">
        <v>1.7949999999999999</v>
      </c>
      <c r="BF4" s="47">
        <v>0.51285714285714279</v>
      </c>
      <c r="BG4" s="46">
        <v>1.855</v>
      </c>
      <c r="BH4" s="47">
        <v>0.53</v>
      </c>
      <c r="BI4" s="46">
        <v>2.7949999999999999</v>
      </c>
      <c r="BJ4" s="47">
        <v>0.7985714285714286</v>
      </c>
      <c r="BK4" s="375" t="s">
        <v>42</v>
      </c>
      <c r="BM4" s="48" t="s">
        <v>47</v>
      </c>
      <c r="BN4" s="49"/>
    </row>
    <row r="5" spans="1:67">
      <c r="A5" s="37" t="s">
        <v>39</v>
      </c>
      <c r="B5" s="38" t="s">
        <v>48</v>
      </c>
      <c r="C5" s="39">
        <v>44</v>
      </c>
      <c r="D5" s="40" t="s">
        <v>48</v>
      </c>
      <c r="E5" s="41">
        <v>1.85</v>
      </c>
      <c r="F5" s="42">
        <v>1.85</v>
      </c>
      <c r="G5" s="42">
        <v>1.85</v>
      </c>
      <c r="H5" s="42">
        <v>1.85</v>
      </c>
      <c r="I5" s="42">
        <v>1.85</v>
      </c>
      <c r="J5" s="42">
        <v>1.85</v>
      </c>
      <c r="K5" s="42">
        <v>1.85</v>
      </c>
      <c r="L5" s="43">
        <v>1.85</v>
      </c>
      <c r="M5" s="44">
        <v>1.85</v>
      </c>
      <c r="N5" s="44">
        <v>1.85</v>
      </c>
      <c r="O5" s="45">
        <v>1.85</v>
      </c>
      <c r="P5" s="45">
        <v>1.85</v>
      </c>
      <c r="Q5" s="45">
        <v>1.85</v>
      </c>
      <c r="R5" s="45">
        <v>1.85</v>
      </c>
      <c r="S5" s="46">
        <v>0.64400000000000002</v>
      </c>
      <c r="T5" s="47">
        <v>0.34810810810810811</v>
      </c>
      <c r="U5" s="46">
        <v>1.41</v>
      </c>
      <c r="V5" s="47">
        <v>0.76216216216216204</v>
      </c>
      <c r="W5" s="46">
        <v>1.51</v>
      </c>
      <c r="X5" s="47">
        <v>0.81621621621621621</v>
      </c>
      <c r="Y5" s="46">
        <v>1.7290000000000001</v>
      </c>
      <c r="Z5" s="47">
        <v>0.9345945945945946</v>
      </c>
      <c r="AA5" s="46">
        <v>1.85</v>
      </c>
      <c r="AB5" s="47">
        <v>1</v>
      </c>
      <c r="AC5" s="46">
        <v>1.85</v>
      </c>
      <c r="AD5" s="47">
        <v>1</v>
      </c>
      <c r="AE5" s="46">
        <v>1.85</v>
      </c>
      <c r="AF5" s="47">
        <v>1</v>
      </c>
      <c r="AG5" s="46">
        <v>1.85</v>
      </c>
      <c r="AH5" s="47">
        <v>1</v>
      </c>
      <c r="AI5" s="46">
        <v>1.85</v>
      </c>
      <c r="AJ5" s="47">
        <v>1</v>
      </c>
      <c r="AK5" s="46">
        <v>1.7563</v>
      </c>
      <c r="AL5" s="47">
        <v>0.94935135135135129</v>
      </c>
      <c r="AM5" s="46">
        <v>1.5938000000000001</v>
      </c>
      <c r="AN5" s="47">
        <v>0.86151351351351357</v>
      </c>
      <c r="AO5" s="46">
        <v>1.444</v>
      </c>
      <c r="AP5" s="47">
        <v>0.78054054054054045</v>
      </c>
      <c r="AQ5" s="46">
        <v>1.2345999999999999</v>
      </c>
      <c r="AR5" s="47">
        <v>0.66735135135135126</v>
      </c>
      <c r="AS5" s="46">
        <v>0.92430999999999996</v>
      </c>
      <c r="AT5" s="47">
        <v>0.49962702702702699</v>
      </c>
      <c r="AU5" s="46">
        <v>0.70086000000000004</v>
      </c>
      <c r="AV5" s="47">
        <v>0.37884324324324326</v>
      </c>
      <c r="AW5" s="46">
        <v>0.67691000000000001</v>
      </c>
      <c r="AX5" s="47">
        <v>0.36589729729729731</v>
      </c>
      <c r="AY5" s="46">
        <v>0.76493</v>
      </c>
      <c r="AZ5" s="47">
        <v>0.41347567567567567</v>
      </c>
      <c r="BA5" s="46">
        <v>0.75624999999999998</v>
      </c>
      <c r="BB5" s="47">
        <v>0.40878378378378377</v>
      </c>
      <c r="BC5" s="46">
        <v>0.74453999999999998</v>
      </c>
      <c r="BD5" s="47">
        <v>0.40245405405405404</v>
      </c>
      <c r="BE5" s="46">
        <v>0.74199999999999999</v>
      </c>
      <c r="BF5" s="47">
        <v>0.40108108108108104</v>
      </c>
      <c r="BG5" s="46">
        <v>0.76200000000000001</v>
      </c>
      <c r="BH5" s="47">
        <v>0.4118918918918919</v>
      </c>
      <c r="BI5" s="46">
        <v>1.85</v>
      </c>
      <c r="BJ5" s="47">
        <v>1</v>
      </c>
      <c r="BK5" s="375" t="s">
        <v>42</v>
      </c>
      <c r="BM5" t="s">
        <v>49</v>
      </c>
    </row>
    <row r="6" spans="1:67">
      <c r="A6" s="37" t="s">
        <v>39</v>
      </c>
      <c r="B6" s="38" t="s">
        <v>50</v>
      </c>
      <c r="C6" s="39">
        <v>49</v>
      </c>
      <c r="D6" s="40" t="s">
        <v>50</v>
      </c>
      <c r="E6" s="41">
        <v>20</v>
      </c>
      <c r="F6" s="42">
        <v>20</v>
      </c>
      <c r="G6" s="42">
        <v>20</v>
      </c>
      <c r="H6" s="42">
        <v>20</v>
      </c>
      <c r="I6" s="42">
        <v>20</v>
      </c>
      <c r="J6" s="42">
        <v>20</v>
      </c>
      <c r="K6" s="42">
        <v>20</v>
      </c>
      <c r="L6" s="43">
        <v>20</v>
      </c>
      <c r="M6" s="44">
        <v>20</v>
      </c>
      <c r="N6" s="44">
        <v>20</v>
      </c>
      <c r="O6" s="45">
        <v>20</v>
      </c>
      <c r="P6" s="45">
        <v>20</v>
      </c>
      <c r="Q6" s="45">
        <v>20</v>
      </c>
      <c r="R6" s="45">
        <v>20</v>
      </c>
      <c r="S6" s="46">
        <v>4.1529999999999996</v>
      </c>
      <c r="T6" s="47">
        <v>0.20764999999999997</v>
      </c>
      <c r="U6" s="46">
        <v>9.5500000000000007</v>
      </c>
      <c r="V6" s="47">
        <v>0.47750000000000004</v>
      </c>
      <c r="W6" s="46">
        <v>10.4</v>
      </c>
      <c r="X6" s="47">
        <v>0.52</v>
      </c>
      <c r="Y6" s="46">
        <v>12.135</v>
      </c>
      <c r="Z6" s="47">
        <v>0.60675000000000001</v>
      </c>
      <c r="AA6" s="46">
        <v>14.541</v>
      </c>
      <c r="AB6" s="47">
        <v>0.72704999999999997</v>
      </c>
      <c r="AC6" s="46">
        <v>16.817</v>
      </c>
      <c r="AD6" s="47">
        <v>0.84084999999999999</v>
      </c>
      <c r="AE6" s="46">
        <v>17.462</v>
      </c>
      <c r="AF6" s="47">
        <v>0.87309999999999999</v>
      </c>
      <c r="AG6" s="46">
        <v>19.111000000000001</v>
      </c>
      <c r="AH6" s="47">
        <v>0.95555000000000001</v>
      </c>
      <c r="AI6" s="46">
        <v>19.779</v>
      </c>
      <c r="AJ6" s="47">
        <v>0.98895</v>
      </c>
      <c r="AK6" s="46">
        <v>19.635000000000002</v>
      </c>
      <c r="AL6" s="47">
        <v>0.98175000000000012</v>
      </c>
      <c r="AM6" s="46">
        <v>18.427</v>
      </c>
      <c r="AN6" s="47">
        <v>0.92135</v>
      </c>
      <c r="AO6" s="46">
        <v>16.768000000000001</v>
      </c>
      <c r="AP6" s="47">
        <v>0.83840000000000003</v>
      </c>
      <c r="AQ6" s="46">
        <v>14.968999999999999</v>
      </c>
      <c r="AR6" s="47">
        <v>0.74844999999999995</v>
      </c>
      <c r="AS6" s="46">
        <v>12.489000000000001</v>
      </c>
      <c r="AT6" s="47">
        <v>0.62445000000000006</v>
      </c>
      <c r="AU6" s="46">
        <v>10.23</v>
      </c>
      <c r="AV6" s="47">
        <v>0.51150000000000007</v>
      </c>
      <c r="AW6" s="46">
        <v>9.5563000000000002</v>
      </c>
      <c r="AX6" s="47">
        <v>0.47781499999999999</v>
      </c>
      <c r="AY6" s="46">
        <v>9.1374999999999993</v>
      </c>
      <c r="AZ6" s="47">
        <v>0.45687499999999998</v>
      </c>
      <c r="BA6" s="46">
        <v>8.7890999999999995</v>
      </c>
      <c r="BB6" s="47">
        <v>0.43945499999999998</v>
      </c>
      <c r="BC6" s="46">
        <v>8.4291999999999998</v>
      </c>
      <c r="BD6" s="47">
        <v>0.42146</v>
      </c>
      <c r="BE6" s="46">
        <v>8.2379999999999995</v>
      </c>
      <c r="BF6" s="47">
        <v>0.41189999999999999</v>
      </c>
      <c r="BG6" s="46">
        <v>8.3640000000000008</v>
      </c>
      <c r="BH6" s="47">
        <v>0.41820000000000002</v>
      </c>
      <c r="BI6" s="46">
        <v>12.7</v>
      </c>
      <c r="BJ6" s="47">
        <v>0.63500000000000001</v>
      </c>
      <c r="BK6" s="375" t="s">
        <v>42</v>
      </c>
      <c r="BM6" t="s">
        <v>51</v>
      </c>
    </row>
    <row r="7" spans="1:67">
      <c r="A7" s="37" t="s">
        <v>39</v>
      </c>
      <c r="B7" s="38" t="s">
        <v>52</v>
      </c>
      <c r="C7" s="39">
        <v>48</v>
      </c>
      <c r="D7" s="40" t="s">
        <v>52</v>
      </c>
      <c r="E7" s="41">
        <v>3.2</v>
      </c>
      <c r="F7" s="42">
        <v>3.2</v>
      </c>
      <c r="G7" s="42">
        <v>3.15</v>
      </c>
      <c r="H7" s="42">
        <v>3.15</v>
      </c>
      <c r="I7" s="42">
        <v>3.15</v>
      </c>
      <c r="J7" s="42">
        <v>3.15</v>
      </c>
      <c r="K7" s="42">
        <v>3.15</v>
      </c>
      <c r="L7" s="43">
        <v>3.15</v>
      </c>
      <c r="M7" s="44">
        <v>3.15</v>
      </c>
      <c r="N7" s="44">
        <v>3.15</v>
      </c>
      <c r="O7" s="45">
        <v>3.15</v>
      </c>
      <c r="P7" s="45">
        <v>3.15</v>
      </c>
      <c r="Q7" s="45">
        <v>3.15</v>
      </c>
      <c r="R7" s="45">
        <v>3.15</v>
      </c>
      <c r="S7" s="46">
        <v>1.667</v>
      </c>
      <c r="T7" s="47">
        <v>0.52920634920634924</v>
      </c>
      <c r="U7" s="46">
        <v>3.15</v>
      </c>
      <c r="V7" s="47">
        <v>1</v>
      </c>
      <c r="W7" s="46">
        <v>3.15</v>
      </c>
      <c r="X7" s="47">
        <v>1</v>
      </c>
      <c r="Y7" s="46">
        <v>3.15</v>
      </c>
      <c r="Z7" s="47">
        <v>1</v>
      </c>
      <c r="AA7" s="46">
        <v>3.15</v>
      </c>
      <c r="AB7" s="47">
        <v>1</v>
      </c>
      <c r="AC7" s="46">
        <v>3.15</v>
      </c>
      <c r="AD7" s="47">
        <v>1</v>
      </c>
      <c r="AE7" s="46">
        <v>3.15</v>
      </c>
      <c r="AF7" s="47">
        <v>1</v>
      </c>
      <c r="AG7" s="46">
        <v>3.15</v>
      </c>
      <c r="AH7" s="47">
        <v>1</v>
      </c>
      <c r="AI7" s="46">
        <v>3.1274000000000002</v>
      </c>
      <c r="AJ7" s="47">
        <v>0.99282539682539694</v>
      </c>
      <c r="AK7" s="46">
        <v>3.1324000000000001</v>
      </c>
      <c r="AL7" s="47">
        <v>0.99441269841269841</v>
      </c>
      <c r="AM7" s="46">
        <v>2.9464999999999999</v>
      </c>
      <c r="AN7" s="47">
        <v>0.93539682539682534</v>
      </c>
      <c r="AO7" s="46">
        <v>2.78</v>
      </c>
      <c r="AP7" s="47">
        <v>0.88253968253968251</v>
      </c>
      <c r="AQ7" s="46">
        <v>2.4857</v>
      </c>
      <c r="AR7" s="47">
        <v>0.7891111111111111</v>
      </c>
      <c r="AS7" s="46">
        <v>2.0746000000000002</v>
      </c>
      <c r="AT7" s="47">
        <v>0.65860317460317475</v>
      </c>
      <c r="AU7" s="46">
        <v>1.8360000000000001</v>
      </c>
      <c r="AV7" s="47">
        <v>0.58285714285714285</v>
      </c>
      <c r="AW7" s="46">
        <v>1.4939</v>
      </c>
      <c r="AX7" s="47">
        <v>0.47425396825396826</v>
      </c>
      <c r="AY7" s="46">
        <v>1.3913</v>
      </c>
      <c r="AZ7" s="47">
        <v>0.44168253968253968</v>
      </c>
      <c r="BA7" s="46">
        <v>1.2988</v>
      </c>
      <c r="BB7" s="47">
        <v>0.4123174603174603</v>
      </c>
      <c r="BC7" s="46">
        <v>1.0852999999999999</v>
      </c>
      <c r="BD7" s="47">
        <v>0.34453968253968253</v>
      </c>
      <c r="BE7" s="46">
        <v>1.0369999999999999</v>
      </c>
      <c r="BF7" s="47">
        <v>0.32920634920634917</v>
      </c>
      <c r="BG7" s="46">
        <v>1.1719999999999999</v>
      </c>
      <c r="BH7" s="47">
        <v>0.37206349206349204</v>
      </c>
      <c r="BI7" s="46">
        <v>3.15</v>
      </c>
      <c r="BJ7" s="47">
        <v>1</v>
      </c>
      <c r="BK7" s="375" t="s">
        <v>42</v>
      </c>
      <c r="BM7" t="s">
        <v>53</v>
      </c>
    </row>
    <row r="8" spans="1:67">
      <c r="A8" s="37" t="s">
        <v>39</v>
      </c>
      <c r="B8" s="38" t="s">
        <v>54</v>
      </c>
      <c r="C8" s="39">
        <v>18</v>
      </c>
      <c r="D8" s="40" t="s">
        <v>55</v>
      </c>
      <c r="E8" s="41">
        <v>2.5009999999999999</v>
      </c>
      <c r="F8" s="42">
        <v>2.5009999999999999</v>
      </c>
      <c r="G8" s="42">
        <v>2.5</v>
      </c>
      <c r="H8" s="42">
        <v>2.5</v>
      </c>
      <c r="I8" s="42">
        <v>2.5</v>
      </c>
      <c r="J8" s="42">
        <v>2.5</v>
      </c>
      <c r="K8" s="42">
        <v>2.5</v>
      </c>
      <c r="L8" s="43">
        <v>2.5</v>
      </c>
      <c r="M8" s="44">
        <v>2.5</v>
      </c>
      <c r="N8" s="44">
        <v>2.5</v>
      </c>
      <c r="O8" s="45">
        <v>2.5</v>
      </c>
      <c r="P8" s="45">
        <v>2.5</v>
      </c>
      <c r="Q8" s="45">
        <v>2.5</v>
      </c>
      <c r="R8" s="45">
        <v>2.5</v>
      </c>
      <c r="S8" s="46">
        <v>1.0309999999999999</v>
      </c>
      <c r="T8" s="47">
        <v>0.41239999999999999</v>
      </c>
      <c r="U8" s="46">
        <v>2.5</v>
      </c>
      <c r="V8" s="47">
        <v>1</v>
      </c>
      <c r="W8" s="46">
        <v>2.5</v>
      </c>
      <c r="X8" s="47">
        <v>1</v>
      </c>
      <c r="Y8" s="46">
        <v>2.496</v>
      </c>
      <c r="Z8" s="47">
        <v>0.99839999999999995</v>
      </c>
      <c r="AA8" s="46">
        <v>2.5</v>
      </c>
      <c r="AB8" s="47">
        <v>1</v>
      </c>
      <c r="AC8" s="46">
        <v>2.5</v>
      </c>
      <c r="AD8" s="47">
        <v>1</v>
      </c>
      <c r="AE8" s="46">
        <v>2.5</v>
      </c>
      <c r="AF8" s="47">
        <v>1</v>
      </c>
      <c r="AG8" s="46">
        <v>2.4763999999999999</v>
      </c>
      <c r="AH8" s="47">
        <v>0.99056</v>
      </c>
      <c r="AI8" s="46">
        <v>2.4748000000000001</v>
      </c>
      <c r="AJ8" s="47">
        <v>0.98992000000000002</v>
      </c>
      <c r="AK8" s="46">
        <v>2.42</v>
      </c>
      <c r="AL8" s="47">
        <v>0.96799999999999997</v>
      </c>
      <c r="AM8" s="46">
        <v>2.2198000000000002</v>
      </c>
      <c r="AN8" s="47">
        <v>0.88792000000000004</v>
      </c>
      <c r="AO8" s="46">
        <v>1.8909</v>
      </c>
      <c r="AP8" s="47">
        <v>0.75636000000000003</v>
      </c>
      <c r="AQ8" s="46">
        <v>1.5488999999999999</v>
      </c>
      <c r="AR8" s="47">
        <v>0.61956</v>
      </c>
      <c r="AS8" s="46">
        <v>1.1738</v>
      </c>
      <c r="AT8" s="47">
        <v>0.46951999999999999</v>
      </c>
      <c r="AU8" s="46">
        <v>0.85221000000000002</v>
      </c>
      <c r="AV8" s="47">
        <v>0.34088400000000002</v>
      </c>
      <c r="AW8" s="46">
        <v>0.78307000000000004</v>
      </c>
      <c r="AX8" s="47">
        <v>0.31322800000000001</v>
      </c>
      <c r="AY8" s="46">
        <v>0.72079000000000004</v>
      </c>
      <c r="AZ8" s="47">
        <v>0.28831600000000002</v>
      </c>
      <c r="BA8" s="46">
        <v>0.70874999999999999</v>
      </c>
      <c r="BB8" s="47">
        <v>0.28349999999999997</v>
      </c>
      <c r="BC8" s="46">
        <v>0.66910000000000003</v>
      </c>
      <c r="BD8" s="47">
        <v>0.26763999999999999</v>
      </c>
      <c r="BE8" s="46">
        <v>0.64600000000000002</v>
      </c>
      <c r="BF8" s="47">
        <v>0.25840000000000002</v>
      </c>
      <c r="BG8" s="46">
        <v>0.69699999999999995</v>
      </c>
      <c r="BH8" s="47">
        <v>0.27879999999999999</v>
      </c>
      <c r="BI8" s="46">
        <v>2.5</v>
      </c>
      <c r="BJ8" s="47">
        <v>1</v>
      </c>
      <c r="BK8" s="375" t="s">
        <v>42</v>
      </c>
    </row>
    <row r="9" spans="1:67">
      <c r="A9" s="37" t="s">
        <v>39</v>
      </c>
      <c r="B9" s="38" t="s">
        <v>56</v>
      </c>
      <c r="C9" s="39">
        <v>39</v>
      </c>
      <c r="D9" s="40" t="s">
        <v>39</v>
      </c>
      <c r="E9" s="41">
        <v>11.7</v>
      </c>
      <c r="F9" s="42">
        <v>11.7</v>
      </c>
      <c r="G9" s="42">
        <v>11.7</v>
      </c>
      <c r="H9" s="42">
        <v>11.7</v>
      </c>
      <c r="I9" s="42">
        <v>11.7</v>
      </c>
      <c r="J9" s="42">
        <v>11.7</v>
      </c>
      <c r="K9" s="42">
        <v>11.7</v>
      </c>
      <c r="L9" s="43">
        <v>11.7</v>
      </c>
      <c r="M9" s="44">
        <v>11.7</v>
      </c>
      <c r="N9" s="44">
        <v>11.7</v>
      </c>
      <c r="O9" s="45">
        <v>11.7</v>
      </c>
      <c r="P9" s="45">
        <v>11.7</v>
      </c>
      <c r="Q9" s="45">
        <v>11.7</v>
      </c>
      <c r="R9" s="45">
        <v>11.7</v>
      </c>
      <c r="S9" s="46">
        <v>6.149</v>
      </c>
      <c r="T9" s="47">
        <v>0.52555555555555555</v>
      </c>
      <c r="U9" s="46">
        <v>6.27</v>
      </c>
      <c r="V9" s="47">
        <v>0.53589743589743588</v>
      </c>
      <c r="W9" s="46">
        <v>6.26</v>
      </c>
      <c r="X9" s="47">
        <v>0.53504273504273503</v>
      </c>
      <c r="Y9" s="46">
        <v>6.4320000000000004</v>
      </c>
      <c r="Z9" s="47">
        <v>0.54974358974358983</v>
      </c>
      <c r="AA9" s="46">
        <v>6.86</v>
      </c>
      <c r="AB9" s="47">
        <v>0.58632478632478635</v>
      </c>
      <c r="AC9" s="46">
        <v>7.6760000000000002</v>
      </c>
      <c r="AD9" s="47">
        <v>0.65606837606837609</v>
      </c>
      <c r="AE9" s="46">
        <v>8.36</v>
      </c>
      <c r="AF9" s="47">
        <v>0.71452991452991454</v>
      </c>
      <c r="AG9" s="46">
        <v>8.7111000000000001</v>
      </c>
      <c r="AH9" s="47">
        <v>0.74453846153846159</v>
      </c>
      <c r="AI9" s="46">
        <v>9.0967000000000002</v>
      </c>
      <c r="AJ9" s="47">
        <v>0.77749572649572651</v>
      </c>
      <c r="AK9" s="46">
        <v>9.2929999999999993</v>
      </c>
      <c r="AL9" s="47">
        <v>0.79427350427350429</v>
      </c>
      <c r="AM9" s="46">
        <v>9.3768999999999991</v>
      </c>
      <c r="AN9" s="47">
        <v>0.8014444444444444</v>
      </c>
      <c r="AO9" s="46">
        <v>9.4809999999999999</v>
      </c>
      <c r="AP9" s="47">
        <v>0.81034188034188037</v>
      </c>
      <c r="AQ9" s="46">
        <v>9.3690999999999995</v>
      </c>
      <c r="AR9" s="47">
        <v>0.80077777777777781</v>
      </c>
      <c r="AS9" s="46">
        <v>8.3610000000000007</v>
      </c>
      <c r="AT9" s="47">
        <v>0.71461538461538476</v>
      </c>
      <c r="AU9" s="46">
        <v>7.7732000000000001</v>
      </c>
      <c r="AV9" s="47">
        <v>0.66437606837606844</v>
      </c>
      <c r="AW9" s="46">
        <v>7.8121999999999998</v>
      </c>
      <c r="AX9" s="47">
        <v>0.66770940170940174</v>
      </c>
      <c r="AY9" s="46">
        <v>7.8329000000000004</v>
      </c>
      <c r="AZ9" s="47">
        <v>0.6694786324786326</v>
      </c>
      <c r="BA9" s="46">
        <v>7.8375000000000004</v>
      </c>
      <c r="BB9" s="47">
        <v>0.66987179487179493</v>
      </c>
      <c r="BC9" s="46">
        <v>7.8247999999999998</v>
      </c>
      <c r="BD9" s="47">
        <v>0.66878632478632483</v>
      </c>
      <c r="BE9" s="46">
        <v>7.8220000000000001</v>
      </c>
      <c r="BF9" s="47">
        <v>0.66854700854700855</v>
      </c>
      <c r="BG9" s="46">
        <v>7.9470000000000001</v>
      </c>
      <c r="BH9" s="47">
        <v>0.6792307692307693</v>
      </c>
      <c r="BI9" s="46">
        <v>7.1550000000000002</v>
      </c>
      <c r="BJ9" s="47">
        <v>0.61153846153846159</v>
      </c>
      <c r="BK9" s="375" t="s">
        <v>42</v>
      </c>
    </row>
    <row r="10" spans="1:67">
      <c r="A10" s="37" t="s">
        <v>39</v>
      </c>
      <c r="B10" s="38" t="s">
        <v>57</v>
      </c>
      <c r="C10" s="39">
        <v>17</v>
      </c>
      <c r="D10" s="40" t="s">
        <v>57</v>
      </c>
      <c r="E10" s="41">
        <v>5.21</v>
      </c>
      <c r="F10" s="42">
        <v>5.21</v>
      </c>
      <c r="G10" s="42">
        <v>5.2</v>
      </c>
      <c r="H10" s="42">
        <v>5.2</v>
      </c>
      <c r="I10" s="42">
        <v>5.2</v>
      </c>
      <c r="J10" s="42">
        <v>5.2</v>
      </c>
      <c r="K10" s="42">
        <v>5.2</v>
      </c>
      <c r="L10" s="43">
        <v>5.2</v>
      </c>
      <c r="M10" s="44">
        <v>5.2</v>
      </c>
      <c r="N10" s="44">
        <v>5.2</v>
      </c>
      <c r="O10" s="45">
        <v>5.2</v>
      </c>
      <c r="P10" s="45">
        <v>5.2</v>
      </c>
      <c r="Q10" s="45">
        <v>5.2</v>
      </c>
      <c r="R10" s="45">
        <v>5.2</v>
      </c>
      <c r="S10" s="46">
        <v>0.23200000000000001</v>
      </c>
      <c r="T10" s="47">
        <v>4.4615384615384619E-2</v>
      </c>
      <c r="U10" s="46">
        <v>0.23</v>
      </c>
      <c r="V10" s="47">
        <v>4.4230769230769233E-2</v>
      </c>
      <c r="W10" s="46">
        <v>0.23</v>
      </c>
      <c r="X10" s="47">
        <v>4.4230769230769233E-2</v>
      </c>
      <c r="Y10" s="46">
        <v>0.223</v>
      </c>
      <c r="Z10" s="47">
        <v>4.2884615384615382E-2</v>
      </c>
      <c r="AA10" s="46">
        <v>0.152</v>
      </c>
      <c r="AB10" s="47">
        <v>2.923076923076923E-2</v>
      </c>
      <c r="AC10" s="46">
        <v>0.03</v>
      </c>
      <c r="AD10" s="47">
        <v>5.7692307692307687E-3</v>
      </c>
      <c r="AE10" s="46">
        <v>0.03</v>
      </c>
      <c r="AF10" s="47">
        <v>5.7692307692307687E-3</v>
      </c>
      <c r="AG10" s="46">
        <v>0.03</v>
      </c>
      <c r="AH10" s="47">
        <v>5.7692307692307687E-3</v>
      </c>
      <c r="AI10" s="46">
        <v>2.9793E-2</v>
      </c>
      <c r="AJ10" s="47">
        <v>5.7294230769230764E-3</v>
      </c>
      <c r="AK10" s="46">
        <v>0</v>
      </c>
      <c r="AL10" s="47">
        <v>0</v>
      </c>
      <c r="AM10" s="46">
        <v>0</v>
      </c>
      <c r="AN10" s="47">
        <v>0</v>
      </c>
      <c r="AO10" s="46">
        <v>0</v>
      </c>
      <c r="AP10" s="47">
        <v>0</v>
      </c>
      <c r="AQ10" s="46">
        <v>0</v>
      </c>
      <c r="AR10" s="47">
        <v>0</v>
      </c>
      <c r="AS10" s="46">
        <v>0</v>
      </c>
      <c r="AT10" s="47">
        <v>0</v>
      </c>
      <c r="AU10" s="46">
        <v>0</v>
      </c>
      <c r="AV10" s="47">
        <v>0</v>
      </c>
      <c r="AW10" s="46">
        <v>0</v>
      </c>
      <c r="AX10" s="47">
        <v>0</v>
      </c>
      <c r="AY10" s="46">
        <v>0</v>
      </c>
      <c r="AZ10" s="47">
        <v>0</v>
      </c>
      <c r="BA10" s="46">
        <v>0</v>
      </c>
      <c r="BB10" s="47">
        <v>0</v>
      </c>
      <c r="BC10" s="46">
        <v>0</v>
      </c>
      <c r="BD10" s="47">
        <v>0</v>
      </c>
      <c r="BE10" s="46">
        <v>0</v>
      </c>
      <c r="BF10" s="47">
        <v>0</v>
      </c>
      <c r="BG10" s="46">
        <v>0</v>
      </c>
      <c r="BH10" s="47">
        <v>0</v>
      </c>
      <c r="BI10" s="46">
        <v>0</v>
      </c>
      <c r="BJ10" s="47">
        <v>0</v>
      </c>
      <c r="BK10" s="375" t="s">
        <v>42</v>
      </c>
      <c r="BO10" s="50"/>
    </row>
    <row r="11" spans="1:67">
      <c r="A11" s="37" t="s">
        <v>39</v>
      </c>
      <c r="B11" s="38" t="s">
        <v>58</v>
      </c>
      <c r="C11" s="39">
        <v>26</v>
      </c>
      <c r="D11" s="40" t="s">
        <v>59</v>
      </c>
      <c r="E11" s="41">
        <v>5.0999999999999996</v>
      </c>
      <c r="F11" s="42">
        <v>5.0999999999999996</v>
      </c>
      <c r="G11" s="42">
        <v>5.0999999999999996</v>
      </c>
      <c r="H11" s="42">
        <v>5.0999999999999996</v>
      </c>
      <c r="I11" s="42">
        <v>5.0999999999999996</v>
      </c>
      <c r="J11" s="42">
        <v>5.0999999999999996</v>
      </c>
      <c r="K11" s="42">
        <v>5.0999999999999996</v>
      </c>
      <c r="L11" s="43">
        <v>5.0999999999999996</v>
      </c>
      <c r="M11" s="44">
        <v>5.0999999999999996</v>
      </c>
      <c r="N11" s="44">
        <v>5.0999999999999996</v>
      </c>
      <c r="O11" s="45">
        <v>5.0999999999999996</v>
      </c>
      <c r="P11" s="45">
        <v>5.0999999999999996</v>
      </c>
      <c r="Q11" s="45">
        <v>5.0999999999999996</v>
      </c>
      <c r="R11" s="45">
        <v>5.0999999999999996</v>
      </c>
      <c r="S11" s="46">
        <v>1.0920000000000001</v>
      </c>
      <c r="T11" s="47">
        <v>0.21411764705882355</v>
      </c>
      <c r="U11" s="46">
        <v>2.5</v>
      </c>
      <c r="V11" s="47">
        <v>0.49019607843137258</v>
      </c>
      <c r="W11" s="46">
        <v>2.65</v>
      </c>
      <c r="X11" s="47">
        <v>0.51960784313725494</v>
      </c>
      <c r="Y11" s="46">
        <v>3.0379999999999998</v>
      </c>
      <c r="Z11" s="47">
        <v>0.59568627450980394</v>
      </c>
      <c r="AA11" s="46">
        <v>3.2029999999999998</v>
      </c>
      <c r="AB11" s="47">
        <v>0.62803921568627452</v>
      </c>
      <c r="AC11" s="46">
        <v>3.2320000000000002</v>
      </c>
      <c r="AD11" s="47">
        <v>0.63372549019607849</v>
      </c>
      <c r="AE11" s="46">
        <v>3.254</v>
      </c>
      <c r="AF11" s="47">
        <v>0.63803921568627453</v>
      </c>
      <c r="AG11" s="46">
        <v>3.2972000000000001</v>
      </c>
      <c r="AH11" s="47">
        <v>0.64650980392156865</v>
      </c>
      <c r="AI11" s="46">
        <v>3.4811000000000001</v>
      </c>
      <c r="AJ11" s="47">
        <v>0.68256862745098046</v>
      </c>
      <c r="AK11" s="46">
        <v>3.3839999999999999</v>
      </c>
      <c r="AL11" s="47">
        <v>0.66352941176470592</v>
      </c>
      <c r="AM11" s="46">
        <v>3.0844999999999998</v>
      </c>
      <c r="AN11" s="47">
        <v>0.6048039215686275</v>
      </c>
      <c r="AO11" s="46">
        <v>2.863</v>
      </c>
      <c r="AP11" s="47">
        <v>0.56137254901960787</v>
      </c>
      <c r="AQ11">
        <v>2.6093999999999999</v>
      </c>
      <c r="AR11" s="47">
        <v>0.51164705882352945</v>
      </c>
      <c r="AS11" s="46">
        <v>2.2627000000000002</v>
      </c>
      <c r="AT11" s="47">
        <v>0.44366666666666671</v>
      </c>
      <c r="AU11" s="46">
        <v>1.9291</v>
      </c>
      <c r="AV11" s="47">
        <v>0.37825490196078437</v>
      </c>
      <c r="AW11" s="46">
        <v>1.9029</v>
      </c>
      <c r="AX11" s="47">
        <v>0.37311764705882355</v>
      </c>
      <c r="AY11" s="46">
        <v>1.8892</v>
      </c>
      <c r="AZ11" s="47">
        <v>0.37043137254901964</v>
      </c>
      <c r="BA11" s="46">
        <v>1.8814</v>
      </c>
      <c r="BB11" s="47">
        <v>0.36890196078431375</v>
      </c>
      <c r="BC11" s="46">
        <v>1.8529</v>
      </c>
      <c r="BD11" s="47">
        <v>0.36331372549019608</v>
      </c>
      <c r="BE11" s="46">
        <v>1.83</v>
      </c>
      <c r="BF11" s="47">
        <v>0.35882352941176476</v>
      </c>
      <c r="BG11" s="46">
        <v>2.0209999999999999</v>
      </c>
      <c r="BH11" s="47">
        <v>0.39627450980392159</v>
      </c>
      <c r="BI11" s="46">
        <v>4.3499999999999996</v>
      </c>
      <c r="BJ11" s="47">
        <v>0.8529411764705882</v>
      </c>
      <c r="BK11" s="375" t="s">
        <v>42</v>
      </c>
      <c r="BO11" s="50"/>
    </row>
    <row r="12" spans="1:67">
      <c r="A12" s="51" t="s">
        <v>39</v>
      </c>
      <c r="B12" s="52" t="s">
        <v>60</v>
      </c>
      <c r="C12" s="53">
        <v>62</v>
      </c>
      <c r="D12" s="54" t="s">
        <v>61</v>
      </c>
      <c r="E12" s="55"/>
      <c r="F12" s="56"/>
      <c r="G12" s="56"/>
      <c r="H12" s="56"/>
      <c r="I12" s="56"/>
      <c r="J12" s="56"/>
      <c r="K12" s="56"/>
      <c r="L12" s="57"/>
      <c r="M12" s="58"/>
      <c r="N12" s="58"/>
      <c r="O12" s="59"/>
      <c r="P12" s="59"/>
      <c r="Q12" s="59">
        <v>1.2</v>
      </c>
      <c r="R12" s="59">
        <v>1.2</v>
      </c>
      <c r="S12" s="60">
        <v>0.36299999999999999</v>
      </c>
      <c r="T12" s="47">
        <v>0.30249999999999999</v>
      </c>
      <c r="U12" s="60">
        <v>0.6</v>
      </c>
      <c r="V12" s="47">
        <v>0.5</v>
      </c>
      <c r="W12" s="60">
        <v>0.71</v>
      </c>
      <c r="X12" s="47">
        <v>0.59166666666666667</v>
      </c>
      <c r="Y12" s="60">
        <v>0.77100000000000002</v>
      </c>
      <c r="Z12" s="47">
        <v>0.64250000000000007</v>
      </c>
      <c r="AA12" s="60">
        <v>0.83</v>
      </c>
      <c r="AB12" s="47">
        <v>0.69166666666666665</v>
      </c>
      <c r="AC12" s="60">
        <v>0.84199999999999997</v>
      </c>
      <c r="AD12" s="47">
        <v>0.70166666666666666</v>
      </c>
      <c r="AE12" s="60">
        <v>0.85699999999999998</v>
      </c>
      <c r="AF12" s="47">
        <v>0.71416666666666673</v>
      </c>
      <c r="AG12" s="60">
        <v>0.87326000000000004</v>
      </c>
      <c r="AH12" s="61">
        <v>0.72771666666666668</v>
      </c>
      <c r="AI12" s="60">
        <v>0.97618000000000005</v>
      </c>
      <c r="AJ12" s="61">
        <v>0.81348333333333345</v>
      </c>
      <c r="AK12" s="60">
        <v>0.98399999999999999</v>
      </c>
      <c r="AL12" s="61">
        <v>0.82000000000000006</v>
      </c>
      <c r="AM12" s="60">
        <v>0.92300000000000004</v>
      </c>
      <c r="AN12" s="61">
        <v>0.76916666666666678</v>
      </c>
      <c r="AO12" s="60">
        <v>0.84419999999999995</v>
      </c>
      <c r="AP12" s="61">
        <v>0.70350000000000001</v>
      </c>
      <c r="AQ12" s="46">
        <v>0.78849000000000002</v>
      </c>
      <c r="AR12" s="61">
        <v>0.65707500000000008</v>
      </c>
      <c r="AS12" s="60">
        <v>0.67518999999999996</v>
      </c>
      <c r="AT12" s="61">
        <v>0.56265833333333337</v>
      </c>
      <c r="AU12" s="60">
        <v>0.59301999999999999</v>
      </c>
      <c r="AV12" s="61">
        <v>0.49418333333333336</v>
      </c>
      <c r="AW12" s="60">
        <v>0.59469000000000005</v>
      </c>
      <c r="AX12" s="61">
        <v>0.49557500000000004</v>
      </c>
      <c r="AY12" s="60">
        <v>0.59679000000000004</v>
      </c>
      <c r="AZ12" s="61">
        <v>0.49732500000000007</v>
      </c>
      <c r="BA12" s="60">
        <v>0.60341999999999996</v>
      </c>
      <c r="BB12" s="61">
        <v>0.50285000000000002</v>
      </c>
      <c r="BC12" s="60">
        <v>0.59757000000000005</v>
      </c>
      <c r="BD12" s="61">
        <v>0.49797500000000006</v>
      </c>
      <c r="BE12" s="60">
        <v>0.59599999999999997</v>
      </c>
      <c r="BF12" s="61">
        <v>0.49666666666666665</v>
      </c>
      <c r="BG12" s="60">
        <v>0.65500000000000003</v>
      </c>
      <c r="BH12" s="61">
        <v>0.54583333333333339</v>
      </c>
      <c r="BI12" s="60">
        <v>1.1539999999999999</v>
      </c>
      <c r="BJ12" s="61">
        <v>0.96166666666666667</v>
      </c>
      <c r="BK12" s="375" t="s">
        <v>42</v>
      </c>
      <c r="BO12" s="50"/>
    </row>
    <row r="13" spans="1:67">
      <c r="A13" s="51" t="s">
        <v>39</v>
      </c>
      <c r="B13" s="52" t="s">
        <v>62</v>
      </c>
      <c r="C13" s="53">
        <v>21</v>
      </c>
      <c r="D13" s="54" t="s">
        <v>63</v>
      </c>
      <c r="E13" s="55">
        <v>2.5</v>
      </c>
      <c r="F13" s="56">
        <v>2.5</v>
      </c>
      <c r="G13" s="56">
        <v>2.5</v>
      </c>
      <c r="H13" s="56">
        <v>2.5</v>
      </c>
      <c r="I13" s="56">
        <v>2.5</v>
      </c>
      <c r="J13" s="56">
        <v>2.5</v>
      </c>
      <c r="K13" s="56">
        <v>2.5</v>
      </c>
      <c r="L13" s="57">
        <v>2.5</v>
      </c>
      <c r="M13" s="58">
        <v>2.5</v>
      </c>
      <c r="N13" s="58">
        <v>2.5</v>
      </c>
      <c r="O13" s="59">
        <v>2.5</v>
      </c>
      <c r="P13" s="59">
        <v>2.5</v>
      </c>
      <c r="Q13" s="59">
        <v>2.5</v>
      </c>
      <c r="R13" s="59">
        <v>2.5</v>
      </c>
      <c r="S13" s="60">
        <v>0.20200000000000001</v>
      </c>
      <c r="T13" s="61">
        <v>8.0800000000000011E-2</v>
      </c>
      <c r="U13" s="60">
        <v>0.99</v>
      </c>
      <c r="V13" s="61">
        <v>0.39600000000000002</v>
      </c>
      <c r="W13" s="60">
        <v>1.04</v>
      </c>
      <c r="X13" s="61">
        <v>0.41600000000000004</v>
      </c>
      <c r="Y13" s="60">
        <v>1.3009999999999999</v>
      </c>
      <c r="Z13" s="61">
        <v>0.52039999999999997</v>
      </c>
      <c r="AA13" s="60">
        <v>1.4419999999999999</v>
      </c>
      <c r="AB13" s="61">
        <v>0.57679999999999998</v>
      </c>
      <c r="AC13" s="60">
        <v>1.76</v>
      </c>
      <c r="AD13" s="61">
        <v>0.70399999999999996</v>
      </c>
      <c r="AE13" s="60">
        <v>2.0569999999999999</v>
      </c>
      <c r="AF13" s="61">
        <v>0.82279999999999998</v>
      </c>
      <c r="AG13" s="60">
        <v>2.09</v>
      </c>
      <c r="AH13" s="61">
        <v>0.83599999999999997</v>
      </c>
      <c r="AI13" s="60">
        <v>2.3965999999999998</v>
      </c>
      <c r="AJ13" s="61">
        <v>0.95863999999999994</v>
      </c>
      <c r="AK13" s="60">
        <v>2.3496999999999999</v>
      </c>
      <c r="AL13" s="61">
        <v>0.93987999999999994</v>
      </c>
      <c r="AM13" s="60">
        <v>2.2799</v>
      </c>
      <c r="AN13" s="61">
        <v>0.91195999999999999</v>
      </c>
      <c r="AO13" s="60">
        <v>1.8982000000000001</v>
      </c>
      <c r="AP13" s="61">
        <v>0.75928000000000007</v>
      </c>
      <c r="AQ13" s="60">
        <v>1.6006</v>
      </c>
      <c r="AR13" s="61">
        <v>0.64024000000000003</v>
      </c>
      <c r="AS13" s="60">
        <v>1.1782999999999999</v>
      </c>
      <c r="AT13" s="61">
        <v>0.47131999999999996</v>
      </c>
      <c r="AU13" s="60">
        <v>0.75585999999999998</v>
      </c>
      <c r="AV13" s="61">
        <v>0.302344</v>
      </c>
      <c r="AW13" s="60">
        <v>0.67084999999999995</v>
      </c>
      <c r="AX13" s="61">
        <v>0.26833999999999997</v>
      </c>
      <c r="AY13" s="60">
        <v>0.70796999999999999</v>
      </c>
      <c r="AZ13" s="61">
        <v>0.283188</v>
      </c>
      <c r="BA13" s="60">
        <v>0.69279999999999997</v>
      </c>
      <c r="BB13" s="61">
        <v>0.27711999999999998</v>
      </c>
      <c r="BC13" s="60">
        <v>0.71882999999999997</v>
      </c>
      <c r="BD13" s="61">
        <v>0.28753200000000001</v>
      </c>
      <c r="BE13" s="60">
        <v>0.72099999999999997</v>
      </c>
      <c r="BF13" s="61">
        <v>0.28839999999999999</v>
      </c>
      <c r="BG13" s="60">
        <v>0.753</v>
      </c>
      <c r="BH13" s="61">
        <v>0.30120000000000002</v>
      </c>
      <c r="BI13" s="60">
        <v>2.234</v>
      </c>
      <c r="BJ13" s="61">
        <v>0.89359999999999995</v>
      </c>
      <c r="BK13" s="375" t="s">
        <v>42</v>
      </c>
      <c r="BO13" s="50"/>
    </row>
    <row r="14" spans="1:67" s="73" customFormat="1" ht="13.5" customHeight="1" thickBot="1">
      <c r="A14" s="413" t="s">
        <v>64</v>
      </c>
      <c r="B14" s="413"/>
      <c r="C14" s="62"/>
      <c r="D14" s="63"/>
      <c r="E14" s="64">
        <v>68.856000000000009</v>
      </c>
      <c r="F14" s="65">
        <v>68.856000000000009</v>
      </c>
      <c r="G14" s="65">
        <v>68.795000000000002</v>
      </c>
      <c r="H14" s="65">
        <v>68.795000000000002</v>
      </c>
      <c r="I14" s="65">
        <v>68.795000000000002</v>
      </c>
      <c r="J14" s="65">
        <v>68.795000000000002</v>
      </c>
      <c r="K14" s="65">
        <v>68.795000000000002</v>
      </c>
      <c r="L14" s="66">
        <v>68.795000000000002</v>
      </c>
      <c r="M14" s="67">
        <v>68.795000000000002</v>
      </c>
      <c r="N14" s="67">
        <v>68.795000000000002</v>
      </c>
      <c r="O14" s="68">
        <v>68.795000000000002</v>
      </c>
      <c r="P14" s="68">
        <v>68.795000000000002</v>
      </c>
      <c r="Q14" s="68">
        <v>69.995000000000005</v>
      </c>
      <c r="R14" s="68">
        <v>69.995000000000005</v>
      </c>
      <c r="S14" s="69">
        <v>21.016999999999999</v>
      </c>
      <c r="T14" s="70">
        <v>0.30026430459318521</v>
      </c>
      <c r="U14" s="69">
        <v>38.130000000000003</v>
      </c>
      <c r="V14" s="70">
        <v>0.54475319665690403</v>
      </c>
      <c r="W14" s="69">
        <v>39.759999999999991</v>
      </c>
      <c r="X14" s="70">
        <v>0.56804057432673749</v>
      </c>
      <c r="Y14" s="69">
        <v>42.983999999999995</v>
      </c>
      <c r="Z14" s="70">
        <v>0.61410100721480099</v>
      </c>
      <c r="AA14" s="69">
        <v>47.52</v>
      </c>
      <c r="AB14" s="70">
        <v>0.6789056361168655</v>
      </c>
      <c r="AC14" s="69">
        <v>54.442999999999998</v>
      </c>
      <c r="AD14" s="70">
        <v>0.77781270090720755</v>
      </c>
      <c r="AE14" s="69">
        <v>56.161000000000001</v>
      </c>
      <c r="AF14" s="70">
        <v>0.80235731123651688</v>
      </c>
      <c r="AG14" s="69">
        <v>58.331660000000014</v>
      </c>
      <c r="AH14" s="70">
        <v>0.8333689549253519</v>
      </c>
      <c r="AI14" s="69">
        <v>59.894472999999998</v>
      </c>
      <c r="AJ14" s="70">
        <v>0.85569644974641035</v>
      </c>
      <c r="AK14" s="69">
        <v>59.5625</v>
      </c>
      <c r="AL14" s="70">
        <v>0.85095363954568182</v>
      </c>
      <c r="AM14" s="69">
        <v>56.694099999999999</v>
      </c>
      <c r="AN14" s="70">
        <v>0.80997356954068145</v>
      </c>
      <c r="AO14" s="69">
        <v>52.97270000000001</v>
      </c>
      <c r="AP14" s="70">
        <v>0.75680691477962725</v>
      </c>
      <c r="AQ14" s="69">
        <v>48.324490000000011</v>
      </c>
      <c r="AR14" s="70">
        <v>0.69039917136938367</v>
      </c>
      <c r="AS14" s="69">
        <v>40.426300000000005</v>
      </c>
      <c r="AT14" s="70">
        <v>0.57755982570183584</v>
      </c>
      <c r="AU14" s="69">
        <v>34.087450000000004</v>
      </c>
      <c r="AV14" s="70">
        <v>0.48699835702550187</v>
      </c>
      <c r="AW14" s="69">
        <v>32.662619999999997</v>
      </c>
      <c r="AX14" s="70">
        <v>0.46664218872776619</v>
      </c>
      <c r="AY14" s="69">
        <v>32.157879999999999</v>
      </c>
      <c r="AZ14" s="70">
        <v>0.45943110222158723</v>
      </c>
      <c r="BA14" s="69">
        <v>31.537719999999993</v>
      </c>
      <c r="BB14" s="70">
        <v>0.45057104078862764</v>
      </c>
      <c r="BC14" s="69">
        <v>30.617640000000002</v>
      </c>
      <c r="BD14" s="70">
        <v>0.43742610186441888</v>
      </c>
      <c r="BE14" s="69">
        <v>30.088000000000001</v>
      </c>
      <c r="BF14" s="70">
        <v>0.42985927566254734</v>
      </c>
      <c r="BG14" s="69">
        <v>31.246000000000002</v>
      </c>
      <c r="BH14" s="70">
        <v>0.4464033145224659</v>
      </c>
      <c r="BI14" s="69">
        <v>46.889000000000003</v>
      </c>
      <c r="BJ14" s="70">
        <v>0.66989070647903426</v>
      </c>
      <c r="BK14" s="71"/>
      <c r="BL14" s="72"/>
      <c r="BO14" s="50"/>
    </row>
    <row r="15" spans="1:67" ht="6.75" customHeight="1" thickBot="1">
      <c r="A15" s="74"/>
      <c r="B15" s="74"/>
      <c r="C15" s="75"/>
      <c r="D15" s="76"/>
      <c r="E15" s="77"/>
      <c r="F15" s="77"/>
      <c r="G15" s="77"/>
      <c r="H15" s="77"/>
      <c r="I15" s="77"/>
      <c r="J15" s="77"/>
      <c r="K15" s="77"/>
      <c r="L15" s="77"/>
      <c r="M15" s="78"/>
      <c r="N15" s="78"/>
      <c r="O15" s="79"/>
      <c r="P15" s="79"/>
      <c r="Q15" s="79"/>
      <c r="R15" s="79"/>
      <c r="S15" s="80"/>
      <c r="T15" s="81"/>
      <c r="U15" s="80"/>
      <c r="V15" s="81"/>
      <c r="W15" s="80"/>
      <c r="X15" s="81"/>
      <c r="Y15" s="80"/>
      <c r="Z15" s="81"/>
      <c r="AA15" s="80"/>
      <c r="AB15" s="81"/>
      <c r="AC15" s="80"/>
      <c r="AD15" s="81"/>
      <c r="AE15" s="80"/>
      <c r="AF15" s="81"/>
      <c r="AG15" s="80"/>
      <c r="AH15" s="81"/>
      <c r="AI15" s="80"/>
      <c r="AJ15" s="81"/>
      <c r="AK15" s="80"/>
      <c r="AL15" s="81"/>
      <c r="AM15" s="80"/>
      <c r="AN15" s="81"/>
      <c r="AO15" s="80"/>
      <c r="AP15" s="81"/>
      <c r="AQ15" s="80"/>
      <c r="AR15" s="81"/>
      <c r="AS15" s="80"/>
      <c r="AT15" s="81"/>
      <c r="AU15" s="80"/>
      <c r="AV15" s="81"/>
      <c r="AW15" s="80"/>
      <c r="AX15" s="81"/>
      <c r="AY15" s="80"/>
      <c r="AZ15" s="81"/>
      <c r="BA15" s="80"/>
      <c r="BB15" s="81"/>
      <c r="BC15" s="80"/>
      <c r="BD15" s="81"/>
      <c r="BE15" s="80"/>
      <c r="BF15" s="81"/>
      <c r="BG15" s="80"/>
      <c r="BH15" s="81"/>
      <c r="BI15" s="80"/>
      <c r="BJ15" s="81"/>
      <c r="BK15" s="82"/>
      <c r="BO15" s="50"/>
    </row>
    <row r="16" spans="1:67" s="73" customFormat="1" ht="13.5" thickBot="1">
      <c r="A16" s="83" t="s">
        <v>65</v>
      </c>
      <c r="B16" s="84" t="s">
        <v>66</v>
      </c>
      <c r="C16" s="85">
        <v>1</v>
      </c>
      <c r="D16" s="86" t="s">
        <v>65</v>
      </c>
      <c r="E16" s="64">
        <v>24.2</v>
      </c>
      <c r="F16" s="65">
        <v>24.2</v>
      </c>
      <c r="G16" s="65">
        <v>24.2</v>
      </c>
      <c r="H16" s="65">
        <v>24.2</v>
      </c>
      <c r="I16" s="65">
        <v>24.2</v>
      </c>
      <c r="J16" s="65">
        <v>24.2</v>
      </c>
      <c r="K16" s="87">
        <v>21.17</v>
      </c>
      <c r="L16" s="88">
        <v>21.17</v>
      </c>
      <c r="M16" s="89">
        <v>21.17</v>
      </c>
      <c r="N16" s="89">
        <v>21.2</v>
      </c>
      <c r="O16" s="90">
        <v>21.2</v>
      </c>
      <c r="P16" s="90">
        <v>21.2</v>
      </c>
      <c r="Q16" s="90">
        <v>21.2</v>
      </c>
      <c r="R16" s="90">
        <v>21.2</v>
      </c>
      <c r="S16" s="91">
        <v>3.4</v>
      </c>
      <c r="T16" s="92">
        <v>0.16037735849056603</v>
      </c>
      <c r="U16" s="91">
        <v>7.620000000000001</v>
      </c>
      <c r="V16" s="92">
        <v>0.35943396226415103</v>
      </c>
      <c r="W16" s="91">
        <v>8.57</v>
      </c>
      <c r="X16" s="92">
        <v>0.40424528301886797</v>
      </c>
      <c r="Y16" s="91">
        <v>15.29</v>
      </c>
      <c r="Z16" s="70">
        <v>0.7212264150943396</v>
      </c>
      <c r="AA16" s="91">
        <v>19.059999999999999</v>
      </c>
      <c r="AB16" s="92">
        <v>0.89905660377358487</v>
      </c>
      <c r="AC16" s="91">
        <v>19.98</v>
      </c>
      <c r="AD16" s="92">
        <v>0.94245283018867931</v>
      </c>
      <c r="AE16" s="91">
        <v>19.95</v>
      </c>
      <c r="AF16" s="92">
        <v>0.94103773584905659</v>
      </c>
      <c r="AG16" s="91">
        <v>19.88</v>
      </c>
      <c r="AH16" s="92">
        <v>0.93773584905660379</v>
      </c>
      <c r="AI16" s="91">
        <v>19.559999999999999</v>
      </c>
      <c r="AJ16" s="92">
        <v>0.92264150943396228</v>
      </c>
      <c r="AK16" s="91">
        <v>18.52</v>
      </c>
      <c r="AL16" s="92">
        <v>0.87358490566037739</v>
      </c>
      <c r="AM16" s="91">
        <v>16.939999999999998</v>
      </c>
      <c r="AN16" s="92">
        <v>0.79905660377358478</v>
      </c>
      <c r="AO16" s="91">
        <v>14.48</v>
      </c>
      <c r="AP16" s="92">
        <v>0.68301886792452837</v>
      </c>
      <c r="AQ16" s="91">
        <v>12.68</v>
      </c>
      <c r="AR16" s="92">
        <v>0.59811320754716979</v>
      </c>
      <c r="AS16" s="91">
        <v>10.3</v>
      </c>
      <c r="AT16" s="92">
        <v>0.48584905660377364</v>
      </c>
      <c r="AU16" s="91">
        <v>6.97</v>
      </c>
      <c r="AV16" s="92">
        <v>0.32877358490566039</v>
      </c>
      <c r="AW16" s="91">
        <v>5.0199999999999996</v>
      </c>
      <c r="AX16" s="92">
        <v>0.23679245283018865</v>
      </c>
      <c r="AY16" s="91">
        <v>3.59</v>
      </c>
      <c r="AZ16" s="92">
        <v>0.16933962264150942</v>
      </c>
      <c r="BA16" s="91">
        <v>2.74</v>
      </c>
      <c r="BB16" s="92">
        <v>0.12924528301886795</v>
      </c>
      <c r="BC16" s="91">
        <v>2.16</v>
      </c>
      <c r="BD16" s="92">
        <v>0.10188679245283019</v>
      </c>
      <c r="BE16" s="91">
        <v>1.77</v>
      </c>
      <c r="BF16" s="92">
        <v>8.3490566037735858E-2</v>
      </c>
      <c r="BG16" s="91">
        <v>2.4900000000000002</v>
      </c>
      <c r="BH16" s="92">
        <v>0.11745283018867926</v>
      </c>
      <c r="BI16" s="91">
        <v>14.64</v>
      </c>
      <c r="BJ16" s="92">
        <v>0.69056603773584913</v>
      </c>
      <c r="BK16" s="375" t="s">
        <v>67</v>
      </c>
      <c r="BL16" s="12"/>
      <c r="BO16" s="50"/>
    </row>
    <row r="17" spans="1:67" ht="6.75" customHeight="1" thickBot="1">
      <c r="A17" s="93"/>
      <c r="B17" s="93"/>
      <c r="C17" s="94"/>
      <c r="D17" s="95"/>
      <c r="E17" s="96"/>
      <c r="F17" s="96"/>
      <c r="G17" s="96"/>
      <c r="H17" s="96"/>
      <c r="I17" s="96"/>
      <c r="J17" s="96"/>
      <c r="K17" s="96"/>
      <c r="L17" s="96"/>
      <c r="M17" s="78"/>
      <c r="N17" s="78"/>
      <c r="O17" s="79"/>
      <c r="P17" s="79"/>
      <c r="Q17" s="79"/>
      <c r="R17" s="79"/>
      <c r="S17" s="80"/>
      <c r="T17" s="81"/>
      <c r="U17" s="80"/>
      <c r="V17" s="81"/>
      <c r="W17" s="80"/>
      <c r="X17" s="81"/>
      <c r="Y17" s="80"/>
      <c r="Z17" s="81"/>
      <c r="AA17" s="80"/>
      <c r="AB17" s="81"/>
      <c r="AC17" s="80"/>
      <c r="AD17" s="81"/>
      <c r="AE17" s="80"/>
      <c r="AF17" s="81"/>
      <c r="AG17" s="80"/>
      <c r="AH17" s="81"/>
      <c r="AI17" s="80"/>
      <c r="AJ17" s="81"/>
      <c r="AK17" s="80"/>
      <c r="AL17" s="81"/>
      <c r="AM17" s="80"/>
      <c r="AN17" s="81"/>
      <c r="AO17" s="80"/>
      <c r="AP17" s="81"/>
      <c r="AQ17" s="80"/>
      <c r="AR17" s="81"/>
      <c r="AS17" s="80"/>
      <c r="AT17" s="81"/>
      <c r="AU17" s="80"/>
      <c r="AV17" s="81"/>
      <c r="AW17" s="80"/>
      <c r="AX17" s="81"/>
      <c r="AY17" s="80"/>
      <c r="AZ17" s="81"/>
      <c r="BA17" s="80"/>
      <c r="BB17" s="81"/>
      <c r="BC17" s="80"/>
      <c r="BD17" s="81"/>
      <c r="BE17" s="80"/>
      <c r="BF17" s="81"/>
      <c r="BG17" s="80"/>
      <c r="BH17" s="81"/>
      <c r="BI17" s="80"/>
      <c r="BJ17" s="81"/>
      <c r="BK17" s="82"/>
      <c r="BO17" s="50"/>
    </row>
    <row r="18" spans="1:67" s="73" customFormat="1" ht="13.5" thickBot="1">
      <c r="A18" s="97" t="s">
        <v>68</v>
      </c>
      <c r="B18" s="38" t="s">
        <v>69</v>
      </c>
      <c r="C18" s="39">
        <v>2</v>
      </c>
      <c r="D18" s="98" t="s">
        <v>70</v>
      </c>
      <c r="E18" s="65">
        <v>5</v>
      </c>
      <c r="F18" s="65">
        <v>5</v>
      </c>
      <c r="G18" s="65">
        <v>5</v>
      </c>
      <c r="H18" s="65">
        <v>5</v>
      </c>
      <c r="I18" s="65">
        <v>5</v>
      </c>
      <c r="J18" s="65">
        <v>5</v>
      </c>
      <c r="K18" s="65">
        <v>5</v>
      </c>
      <c r="L18" s="66">
        <v>5</v>
      </c>
      <c r="M18" s="99">
        <v>5</v>
      </c>
      <c r="N18" s="99">
        <v>4.9524999999999997</v>
      </c>
      <c r="O18" s="100">
        <v>4.9524999999999997</v>
      </c>
      <c r="P18" s="100">
        <v>4.9524999999999997</v>
      </c>
      <c r="Q18" s="100">
        <v>4.9524999999999997</v>
      </c>
      <c r="R18" s="100">
        <v>4.9524999999999997</v>
      </c>
      <c r="S18" s="91">
        <v>3.11</v>
      </c>
      <c r="T18" s="92">
        <v>0.6279656739020697</v>
      </c>
      <c r="U18" s="91">
        <v>3.15</v>
      </c>
      <c r="V18" s="92">
        <v>0.6360424028268552</v>
      </c>
      <c r="W18" s="91">
        <v>3.34</v>
      </c>
      <c r="X18" s="92">
        <v>0.67440686521958604</v>
      </c>
      <c r="Y18" s="91">
        <v>4.3936000000000002</v>
      </c>
      <c r="Z18" s="92">
        <v>0.88714790509843522</v>
      </c>
      <c r="AA18" s="91">
        <v>4.9420000000000002</v>
      </c>
      <c r="AB18" s="92">
        <v>0.99787985865724393</v>
      </c>
      <c r="AC18" s="91">
        <v>4.9455359999999997</v>
      </c>
      <c r="AD18" s="92">
        <v>0.99859384149419483</v>
      </c>
      <c r="AE18" s="91">
        <v>4.9589999999999996</v>
      </c>
      <c r="AF18" s="92">
        <v>1.0013124684502777</v>
      </c>
      <c r="AG18" s="91">
        <v>4.9519359999999999</v>
      </c>
      <c r="AH18" s="92">
        <v>0.99988611812216055</v>
      </c>
      <c r="AI18" s="91">
        <v>4.9510560000000003</v>
      </c>
      <c r="AJ18" s="92">
        <v>0.99970843008581534</v>
      </c>
      <c r="AK18" s="91">
        <v>4.940016</v>
      </c>
      <c r="AL18" s="92">
        <v>0.99747925290257455</v>
      </c>
      <c r="AM18" s="91">
        <v>4.7711680000000003</v>
      </c>
      <c r="AN18" s="92">
        <v>0.96338576476527016</v>
      </c>
      <c r="AO18" s="91">
        <v>4.011476</v>
      </c>
      <c r="AP18" s="92">
        <v>0.80999010600706722</v>
      </c>
      <c r="AQ18" s="91">
        <v>3.5542880000000001</v>
      </c>
      <c r="AR18" s="92">
        <v>0.71767551741544677</v>
      </c>
      <c r="AS18" s="91">
        <v>2.809072</v>
      </c>
      <c r="AT18" s="92">
        <v>0.56720282685512369</v>
      </c>
      <c r="AU18" s="91">
        <v>1.9739439999999999</v>
      </c>
      <c r="AV18" s="92">
        <v>0.39857526501766788</v>
      </c>
      <c r="AW18" s="91">
        <v>1.6306480000000001</v>
      </c>
      <c r="AX18" s="92">
        <v>0.32925754669358914</v>
      </c>
      <c r="AY18" s="91">
        <v>1.474432</v>
      </c>
      <c r="AZ18" s="92">
        <v>0.29771468955073199</v>
      </c>
      <c r="BA18" s="91">
        <v>1.448504</v>
      </c>
      <c r="BB18" s="92">
        <v>0.29247935386168605</v>
      </c>
      <c r="BC18" s="91">
        <v>1.359008</v>
      </c>
      <c r="BD18" s="92">
        <v>0.27440848056537104</v>
      </c>
      <c r="BE18" s="91">
        <v>1.1000000000000001</v>
      </c>
      <c r="BF18" s="92">
        <v>0.22211004543160023</v>
      </c>
      <c r="BG18" s="91">
        <v>1.3979999999999999</v>
      </c>
      <c r="BH18" s="92">
        <v>0.28228167592125192</v>
      </c>
      <c r="BI18" s="91">
        <v>3.6457760000000001</v>
      </c>
      <c r="BJ18" s="92">
        <v>0.73614861181221614</v>
      </c>
      <c r="BK18" s="101" t="s">
        <v>71</v>
      </c>
      <c r="BL18" s="72"/>
      <c r="BO18" s="50"/>
    </row>
    <row r="19" spans="1:67" ht="7.5" customHeight="1" thickBot="1">
      <c r="A19" s="102"/>
      <c r="B19" s="102"/>
      <c r="C19" s="103"/>
      <c r="D19" s="104"/>
      <c r="E19" s="96"/>
      <c r="F19" s="96"/>
      <c r="G19" s="96"/>
      <c r="H19" s="96"/>
      <c r="I19" s="96"/>
      <c r="J19" s="96"/>
      <c r="K19" s="96"/>
      <c r="L19" s="105"/>
      <c r="M19" s="106"/>
      <c r="N19" s="106"/>
      <c r="O19" s="107"/>
      <c r="P19" s="107"/>
      <c r="Q19" s="107"/>
      <c r="R19" s="107"/>
      <c r="S19" s="80"/>
      <c r="T19" s="81"/>
      <c r="U19" s="80"/>
      <c r="V19" s="81"/>
      <c r="W19" s="80"/>
      <c r="X19" s="81"/>
      <c r="Y19" s="80"/>
      <c r="Z19" s="81"/>
      <c r="AA19" s="80"/>
      <c r="AB19" s="81"/>
      <c r="AC19" s="80"/>
      <c r="AD19" s="81"/>
      <c r="AE19" s="80"/>
      <c r="AF19" s="81"/>
      <c r="AG19" s="80"/>
      <c r="AH19" s="81"/>
      <c r="AI19" s="80"/>
      <c r="AJ19" s="81"/>
      <c r="AK19" s="80"/>
      <c r="AL19" s="81"/>
      <c r="AM19" s="80"/>
      <c r="AN19" s="81"/>
      <c r="AO19" s="80"/>
      <c r="AP19" s="81"/>
      <c r="AQ19" s="80"/>
      <c r="AR19" s="81"/>
      <c r="AS19" s="80"/>
      <c r="AT19" s="81"/>
      <c r="AU19" s="80"/>
      <c r="AV19" s="81"/>
      <c r="AW19" s="80"/>
      <c r="AX19" s="81"/>
      <c r="AY19" s="80"/>
      <c r="AZ19" s="81"/>
      <c r="BA19" s="80"/>
      <c r="BB19" s="81"/>
      <c r="BC19" s="80"/>
      <c r="BD19" s="81"/>
      <c r="BE19" s="80"/>
      <c r="BF19" s="81"/>
      <c r="BG19" s="80"/>
      <c r="BH19" s="81"/>
      <c r="BI19" s="80"/>
      <c r="BJ19" s="81"/>
      <c r="BK19" s="82"/>
      <c r="BO19" s="50"/>
    </row>
    <row r="20" spans="1:67">
      <c r="A20" s="38" t="s">
        <v>72</v>
      </c>
      <c r="B20" s="38" t="s">
        <v>73</v>
      </c>
      <c r="C20" s="39">
        <v>9</v>
      </c>
      <c r="D20" s="98" t="s">
        <v>74</v>
      </c>
      <c r="E20" s="42">
        <v>2</v>
      </c>
      <c r="F20" s="42">
        <v>2</v>
      </c>
      <c r="G20" s="42">
        <v>2</v>
      </c>
      <c r="H20" s="42">
        <v>2</v>
      </c>
      <c r="I20" s="42">
        <v>2</v>
      </c>
      <c r="J20" s="42">
        <v>2</v>
      </c>
      <c r="K20" s="108">
        <v>2</v>
      </c>
      <c r="L20" s="109">
        <v>2</v>
      </c>
      <c r="M20" s="110">
        <v>2</v>
      </c>
      <c r="N20" s="110">
        <v>2</v>
      </c>
      <c r="O20" s="111">
        <v>2</v>
      </c>
      <c r="P20" s="111">
        <v>2</v>
      </c>
      <c r="Q20" s="111">
        <v>2</v>
      </c>
      <c r="R20" s="111">
        <v>2</v>
      </c>
      <c r="S20" s="112">
        <v>0.74399999999999999</v>
      </c>
      <c r="T20" s="113">
        <v>0.372</v>
      </c>
      <c r="U20" s="112">
        <v>0.88</v>
      </c>
      <c r="V20" s="113">
        <v>0.44</v>
      </c>
      <c r="W20" s="112">
        <v>0.91</v>
      </c>
      <c r="X20" s="113">
        <v>0.45500000000000002</v>
      </c>
      <c r="Y20" s="112">
        <v>0.93500000000000005</v>
      </c>
      <c r="Z20" s="113">
        <v>0.46750000000000003</v>
      </c>
      <c r="AA20" s="112">
        <v>1.036</v>
      </c>
      <c r="AB20" s="113">
        <v>0.51800000000000002</v>
      </c>
      <c r="AC20" s="112">
        <v>1.0669999999999999</v>
      </c>
      <c r="AD20" s="113">
        <v>0.53349999999999997</v>
      </c>
      <c r="AE20" s="112">
        <v>1.0669999999999999</v>
      </c>
      <c r="AF20" s="113">
        <v>0.53349999999999997</v>
      </c>
      <c r="AG20" s="112">
        <v>1.0940000000000001</v>
      </c>
      <c r="AH20" s="113">
        <v>0.54700000000000004</v>
      </c>
      <c r="AI20" s="112">
        <v>1.081</v>
      </c>
      <c r="AJ20" s="113">
        <v>0.54049999999999998</v>
      </c>
      <c r="AK20" s="112">
        <v>1.07</v>
      </c>
      <c r="AL20" s="113">
        <v>0.53500000000000003</v>
      </c>
      <c r="AM20" s="112">
        <v>1.0169999999999999</v>
      </c>
      <c r="AN20" s="113">
        <v>0.50849999999999995</v>
      </c>
      <c r="AO20" s="112">
        <v>0.91100000000000003</v>
      </c>
      <c r="AP20" s="113">
        <v>0.45550000000000002</v>
      </c>
      <c r="AQ20" s="112">
        <v>0.80659199999999998</v>
      </c>
      <c r="AR20" s="113">
        <v>0.40329599999999999</v>
      </c>
      <c r="AS20" s="114">
        <v>0.72199999999999998</v>
      </c>
      <c r="AT20" s="113">
        <v>0.36099999999999999</v>
      </c>
      <c r="AU20" s="112">
        <v>0.61</v>
      </c>
      <c r="AV20" s="113">
        <v>0.30499999999999999</v>
      </c>
      <c r="AW20" s="112">
        <v>0.5</v>
      </c>
      <c r="AX20" s="113">
        <v>0.25</v>
      </c>
      <c r="AY20" s="112">
        <v>0.45800000000000002</v>
      </c>
      <c r="AZ20" s="113">
        <v>0.22900000000000001</v>
      </c>
      <c r="BA20" s="112">
        <v>0.436</v>
      </c>
      <c r="BB20" s="113">
        <v>0.218</v>
      </c>
      <c r="BC20" s="112">
        <v>0.41899999999999998</v>
      </c>
      <c r="BD20" s="113">
        <v>0.20949999999999999</v>
      </c>
      <c r="BE20" s="112">
        <v>0.40100000000000002</v>
      </c>
      <c r="BF20" s="113">
        <v>0.20050000000000001</v>
      </c>
      <c r="BG20" s="112">
        <v>0.38400000000000001</v>
      </c>
      <c r="BH20" s="113">
        <v>0.192</v>
      </c>
      <c r="BI20" s="112">
        <v>0.39600000000000002</v>
      </c>
      <c r="BJ20" s="113">
        <v>0</v>
      </c>
      <c r="BK20" s="375" t="s">
        <v>75</v>
      </c>
      <c r="BO20" s="50"/>
    </row>
    <row r="21" spans="1:67">
      <c r="A21" s="38" t="s">
        <v>72</v>
      </c>
      <c r="B21" s="38" t="s">
        <v>76</v>
      </c>
      <c r="C21" s="39">
        <v>23</v>
      </c>
      <c r="D21" s="98" t="s">
        <v>77</v>
      </c>
      <c r="E21" s="42">
        <v>3</v>
      </c>
      <c r="F21" s="42">
        <v>3</v>
      </c>
      <c r="G21" s="42">
        <v>3</v>
      </c>
      <c r="H21" s="42">
        <v>3</v>
      </c>
      <c r="I21" s="42">
        <v>3</v>
      </c>
      <c r="J21" s="42">
        <v>3</v>
      </c>
      <c r="K21" s="108">
        <v>3</v>
      </c>
      <c r="L21" s="109">
        <v>3</v>
      </c>
      <c r="M21" s="115">
        <v>3.45</v>
      </c>
      <c r="N21" s="115">
        <v>3.41</v>
      </c>
      <c r="O21" s="116">
        <v>3.41</v>
      </c>
      <c r="P21" s="116">
        <v>3.41</v>
      </c>
      <c r="Q21" s="116">
        <v>3.41</v>
      </c>
      <c r="R21" s="116">
        <v>3.41</v>
      </c>
      <c r="S21" s="46">
        <v>1.389</v>
      </c>
      <c r="T21" s="47">
        <v>0.40733137829912019</v>
      </c>
      <c r="U21" s="46">
        <v>1.97</v>
      </c>
      <c r="V21" s="47">
        <v>0.57771260997067442</v>
      </c>
      <c r="W21" s="46">
        <v>2.06</v>
      </c>
      <c r="X21" s="47">
        <v>0.60410557184750735</v>
      </c>
      <c r="Y21" s="46">
        <v>3.0030000000000001</v>
      </c>
      <c r="Z21" s="47">
        <v>0.88064516129032255</v>
      </c>
      <c r="AA21" s="46">
        <v>3.1560000000000001</v>
      </c>
      <c r="AB21" s="47">
        <v>0.92551319648093844</v>
      </c>
      <c r="AC21" s="46">
        <v>3.2810000000000001</v>
      </c>
      <c r="AD21" s="47">
        <v>0.96217008797653958</v>
      </c>
      <c r="AE21" s="46">
        <v>3.3090000000000002</v>
      </c>
      <c r="AF21" s="47">
        <v>0.97038123167155421</v>
      </c>
      <c r="AG21" s="46">
        <v>3.2919999999999998</v>
      </c>
      <c r="AH21" s="47">
        <v>0.96539589442815243</v>
      </c>
      <c r="AI21" s="46">
        <v>3.2865000000000002</v>
      </c>
      <c r="AJ21" s="47">
        <v>0.96378299120234601</v>
      </c>
      <c r="AK21" s="46">
        <v>3.2353999999999998</v>
      </c>
      <c r="AL21" s="47">
        <v>0.94879765395894422</v>
      </c>
      <c r="AM21" s="46">
        <v>3.0947</v>
      </c>
      <c r="AN21" s="47">
        <v>0.90753665689149554</v>
      </c>
      <c r="AO21" s="46">
        <v>2.7987000000000002</v>
      </c>
      <c r="AP21" s="47">
        <v>0.82073313782991208</v>
      </c>
      <c r="AQ21" s="46">
        <v>2.5196000000000001</v>
      </c>
      <c r="AR21" s="47">
        <v>0.73888563049853373</v>
      </c>
      <c r="AS21" s="46">
        <v>2.2764000000000002</v>
      </c>
      <c r="AT21" s="47">
        <v>0.66756598240469212</v>
      </c>
      <c r="AU21" s="46">
        <v>2.0769000000000002</v>
      </c>
      <c r="AV21" s="47">
        <v>0.60906158357771267</v>
      </c>
      <c r="AW21" s="46">
        <v>1.9673</v>
      </c>
      <c r="AX21" s="47">
        <v>0.57692082111436949</v>
      </c>
      <c r="AY21" s="46">
        <v>1.859</v>
      </c>
      <c r="AZ21" s="47">
        <v>0.54516129032258065</v>
      </c>
      <c r="BA21" s="46">
        <v>1.8339000000000001</v>
      </c>
      <c r="BB21" s="47">
        <v>0.53780058651026397</v>
      </c>
      <c r="BC21" s="46">
        <v>1.7698</v>
      </c>
      <c r="BD21" s="47">
        <v>0.51900293255131968</v>
      </c>
      <c r="BE21" s="46">
        <v>1.7390000000000001</v>
      </c>
      <c r="BF21" s="47">
        <v>0.50997067448680355</v>
      </c>
      <c r="BG21" s="46">
        <v>1.8029999999999999</v>
      </c>
      <c r="BH21" s="47">
        <v>0.52873900293255127</v>
      </c>
      <c r="BI21" s="46">
        <v>3.41</v>
      </c>
      <c r="BJ21" s="47">
        <v>1</v>
      </c>
      <c r="BK21" s="375" t="s">
        <v>42</v>
      </c>
      <c r="BO21" s="50"/>
    </row>
    <row r="22" spans="1:67">
      <c r="A22" s="38" t="s">
        <v>72</v>
      </c>
      <c r="B22" s="38" t="s">
        <v>78</v>
      </c>
      <c r="C22" s="39">
        <v>13</v>
      </c>
      <c r="D22" s="98" t="s">
        <v>79</v>
      </c>
      <c r="E22" s="42">
        <v>2.1</v>
      </c>
      <c r="F22" s="42">
        <v>2.1</v>
      </c>
      <c r="G22" s="42">
        <v>2.1</v>
      </c>
      <c r="H22" s="42">
        <v>2.1</v>
      </c>
      <c r="I22" s="42">
        <v>2.1</v>
      </c>
      <c r="J22" s="42">
        <v>2.1</v>
      </c>
      <c r="K22" s="108">
        <v>2.1</v>
      </c>
      <c r="L22" s="109">
        <v>2.1</v>
      </c>
      <c r="M22" s="115">
        <v>2.1</v>
      </c>
      <c r="N22" s="115">
        <v>2.1</v>
      </c>
      <c r="O22" s="116">
        <v>2.1</v>
      </c>
      <c r="P22" s="116">
        <v>2.1</v>
      </c>
      <c r="Q22" s="116">
        <v>2.1</v>
      </c>
      <c r="R22" s="116">
        <v>2.1</v>
      </c>
      <c r="S22" s="46">
        <v>0.5</v>
      </c>
      <c r="T22" s="47">
        <v>0.23809523809523808</v>
      </c>
      <c r="U22" s="46">
        <v>0.72899999999999998</v>
      </c>
      <c r="V22" s="47">
        <v>0.34714285714285714</v>
      </c>
      <c r="W22" s="46">
        <v>0.73</v>
      </c>
      <c r="X22" s="47">
        <v>0.34761904761904761</v>
      </c>
      <c r="Y22" s="46">
        <v>0.70609999999999995</v>
      </c>
      <c r="Z22" s="47">
        <v>0.33623809523809522</v>
      </c>
      <c r="AA22" s="46">
        <v>0.70820000000000005</v>
      </c>
      <c r="AB22" s="47">
        <v>0.33723809523809523</v>
      </c>
      <c r="AC22" s="46">
        <v>0.89</v>
      </c>
      <c r="AD22" s="47">
        <v>0.4238095238095238</v>
      </c>
      <c r="AE22" s="46">
        <v>0.89800000000000002</v>
      </c>
      <c r="AF22" s="47">
        <v>0.42761904761904762</v>
      </c>
      <c r="AG22" s="46">
        <v>0.99095999999999995</v>
      </c>
      <c r="AH22" s="47">
        <v>0.47188571428571424</v>
      </c>
      <c r="AI22" s="46">
        <v>0.98562000000000005</v>
      </c>
      <c r="AJ22" s="47">
        <v>0.46934285714285717</v>
      </c>
      <c r="AK22" s="46">
        <v>0.96150000000000002</v>
      </c>
      <c r="AL22" s="47">
        <v>0.45785714285714285</v>
      </c>
      <c r="AM22" s="46">
        <v>0.94277999999999995</v>
      </c>
      <c r="AN22" s="47">
        <v>0.44894285714285709</v>
      </c>
      <c r="AO22" s="46">
        <v>0.91215999999999997</v>
      </c>
      <c r="AP22" s="47">
        <v>0.43436190476190473</v>
      </c>
      <c r="AQ22" s="46">
        <v>0.86</v>
      </c>
      <c r="AR22" s="47">
        <v>0.40952380952380951</v>
      </c>
      <c r="AS22" s="46">
        <v>0.84079999999999999</v>
      </c>
      <c r="AT22" s="47">
        <v>0.40038095238095234</v>
      </c>
      <c r="AU22" s="46">
        <v>0.80976000000000004</v>
      </c>
      <c r="AV22" s="47">
        <v>0.3856</v>
      </c>
      <c r="AW22" s="46">
        <v>0.79854000000000003</v>
      </c>
      <c r="AX22" s="47">
        <v>0.38025714285714285</v>
      </c>
      <c r="AY22" s="46">
        <v>0.80752000000000002</v>
      </c>
      <c r="AZ22" s="47">
        <v>0.38453333333333334</v>
      </c>
      <c r="BA22" s="46">
        <v>0.80528012999999998</v>
      </c>
      <c r="BB22" s="47">
        <v>0.38346672857142855</v>
      </c>
      <c r="BC22" s="46">
        <v>0.79854000000000003</v>
      </c>
      <c r="BD22" s="47">
        <v>0.38025714285714285</v>
      </c>
      <c r="BE22" s="46">
        <v>0.80500000000000005</v>
      </c>
      <c r="BF22" s="47">
        <v>0.38333333333333336</v>
      </c>
      <c r="BG22" s="46">
        <v>0.76700000000000002</v>
      </c>
      <c r="BH22" s="47">
        <v>0.36523809523809525</v>
      </c>
      <c r="BI22" s="46">
        <v>0.77800000000000002</v>
      </c>
      <c r="BJ22" s="47">
        <v>0.37047619047619046</v>
      </c>
      <c r="BK22" s="117" t="s">
        <v>80</v>
      </c>
    </row>
    <row r="23" spans="1:67">
      <c r="A23" s="38" t="s">
        <v>72</v>
      </c>
      <c r="B23" s="38" t="s">
        <v>81</v>
      </c>
      <c r="C23" s="39">
        <v>14</v>
      </c>
      <c r="D23" s="98" t="s">
        <v>82</v>
      </c>
      <c r="E23" s="42">
        <v>4.93</v>
      </c>
      <c r="F23" s="42">
        <v>4.93</v>
      </c>
      <c r="G23" s="42">
        <v>4.93</v>
      </c>
      <c r="H23" s="42">
        <v>4.93</v>
      </c>
      <c r="I23" s="42">
        <v>4.93</v>
      </c>
      <c r="J23" s="42">
        <v>4.93</v>
      </c>
      <c r="K23" s="108">
        <v>4.93</v>
      </c>
      <c r="L23" s="109">
        <v>4.93</v>
      </c>
      <c r="M23" s="115">
        <v>4.93</v>
      </c>
      <c r="N23" s="115">
        <v>4.93</v>
      </c>
      <c r="O23" s="116">
        <v>4.93</v>
      </c>
      <c r="P23" s="116">
        <v>4.93</v>
      </c>
      <c r="Q23" s="116">
        <v>4.93</v>
      </c>
      <c r="R23" s="116">
        <v>4.93</v>
      </c>
      <c r="S23" s="46">
        <v>0.68400000000000005</v>
      </c>
      <c r="T23" s="47">
        <v>0.13874239350912781</v>
      </c>
      <c r="U23" s="46">
        <v>0.86</v>
      </c>
      <c r="V23" s="47">
        <v>0.17444219066937119</v>
      </c>
      <c r="W23" s="46">
        <v>1.07</v>
      </c>
      <c r="X23" s="47">
        <v>0.21703853955375257</v>
      </c>
      <c r="Y23" s="46">
        <v>1.67</v>
      </c>
      <c r="Z23" s="47">
        <v>0.33874239350912777</v>
      </c>
      <c r="AA23" s="114">
        <v>2.66</v>
      </c>
      <c r="AB23" s="47">
        <v>0.53955375253549698</v>
      </c>
      <c r="AC23" s="46">
        <v>3.68</v>
      </c>
      <c r="AD23" s="47">
        <v>0.74645030425963499</v>
      </c>
      <c r="AE23" s="46">
        <v>4</v>
      </c>
      <c r="AF23" s="47">
        <v>0.81135902636916846</v>
      </c>
      <c r="AG23" s="46">
        <v>4.47</v>
      </c>
      <c r="AH23" s="47">
        <v>0.90669371196754567</v>
      </c>
      <c r="AI23" s="46">
        <v>4.76</v>
      </c>
      <c r="AJ23" s="47">
        <v>0.96551724137931039</v>
      </c>
      <c r="AK23" s="46">
        <v>4.93</v>
      </c>
      <c r="AL23" s="47">
        <v>1</v>
      </c>
      <c r="AM23" s="46">
        <v>4.93</v>
      </c>
      <c r="AN23" s="47">
        <v>1</v>
      </c>
      <c r="AO23" s="46">
        <v>4.9000000000000004</v>
      </c>
      <c r="AP23" s="47">
        <v>0.99391480730223136</v>
      </c>
      <c r="AQ23" s="46">
        <v>4.87</v>
      </c>
      <c r="AR23" s="47">
        <v>0.9878296146044625</v>
      </c>
      <c r="AS23" s="46">
        <v>4.83</v>
      </c>
      <c r="AT23" s="47">
        <v>0.97971602434077087</v>
      </c>
      <c r="AU23" s="46">
        <v>4.3600000000000003</v>
      </c>
      <c r="AV23" s="47">
        <v>0.88438133874239366</v>
      </c>
      <c r="AW23" s="46">
        <v>4.33</v>
      </c>
      <c r="AX23" s="47">
        <v>0.8782961460446248</v>
      </c>
      <c r="AY23" s="46">
        <v>4.32</v>
      </c>
      <c r="AZ23" s="47">
        <v>0.87626774847870192</v>
      </c>
      <c r="BA23" s="46">
        <v>4.0999999999999996</v>
      </c>
      <c r="BB23" s="47">
        <v>0.83164300202839758</v>
      </c>
      <c r="BC23" s="46">
        <v>3.53</v>
      </c>
      <c r="BD23" s="47">
        <v>0.71602434077079102</v>
      </c>
      <c r="BE23" s="46">
        <v>2.79</v>
      </c>
      <c r="BF23" s="47">
        <v>0.56592292089249496</v>
      </c>
      <c r="BG23" s="46">
        <v>2.68</v>
      </c>
      <c r="BH23" s="47">
        <v>0.54361054766734285</v>
      </c>
      <c r="BI23" s="46">
        <v>2.72</v>
      </c>
      <c r="BJ23" s="47">
        <v>0.55172413793103459</v>
      </c>
      <c r="BK23" s="375" t="s">
        <v>83</v>
      </c>
    </row>
    <row r="24" spans="1:67">
      <c r="A24" s="38" t="s">
        <v>72</v>
      </c>
      <c r="B24" s="38" t="s">
        <v>84</v>
      </c>
      <c r="C24" s="39">
        <v>42</v>
      </c>
      <c r="D24" s="98" t="s">
        <v>85</v>
      </c>
      <c r="E24" s="42">
        <v>33.76</v>
      </c>
      <c r="F24" s="42">
        <v>47.3</v>
      </c>
      <c r="G24" s="42">
        <v>44.6</v>
      </c>
      <c r="H24" s="42">
        <v>44.6</v>
      </c>
      <c r="I24" s="42">
        <v>44.6</v>
      </c>
      <c r="J24" s="42">
        <v>44.6</v>
      </c>
      <c r="K24" s="108">
        <v>44.6</v>
      </c>
      <c r="L24" s="109">
        <v>44.6</v>
      </c>
      <c r="M24" s="115">
        <v>44.6</v>
      </c>
      <c r="N24" s="115">
        <v>44.6</v>
      </c>
      <c r="O24" s="116">
        <v>44.6</v>
      </c>
      <c r="P24" s="116">
        <v>44.6</v>
      </c>
      <c r="Q24" s="116">
        <v>44.6</v>
      </c>
      <c r="R24" s="116">
        <v>44.6</v>
      </c>
      <c r="S24" s="46">
        <v>18.404</v>
      </c>
      <c r="T24" s="47">
        <v>0.41264573991031389</v>
      </c>
      <c r="U24" s="46">
        <v>19.13</v>
      </c>
      <c r="V24" s="47">
        <v>0.42892376681614347</v>
      </c>
      <c r="W24" s="46">
        <v>19.13</v>
      </c>
      <c r="X24" s="47">
        <v>0.42892376681614347</v>
      </c>
      <c r="Y24" s="46">
        <v>19.3</v>
      </c>
      <c r="Z24" s="47">
        <v>0.43273542600896864</v>
      </c>
      <c r="AA24" s="46">
        <v>19.074999999999999</v>
      </c>
      <c r="AB24" s="47">
        <v>0.42769058295964124</v>
      </c>
      <c r="AC24" s="46">
        <v>20.2</v>
      </c>
      <c r="AD24" s="47">
        <v>0.452914798206278</v>
      </c>
      <c r="AE24" s="46">
        <v>21.140999999999998</v>
      </c>
      <c r="AF24" s="47">
        <v>0.47401345291479813</v>
      </c>
      <c r="AG24" s="46">
        <v>21.785679999999999</v>
      </c>
      <c r="AH24" s="47">
        <v>0.48846816143497757</v>
      </c>
      <c r="AI24" s="46">
        <v>22.280999999999999</v>
      </c>
      <c r="AJ24" s="47">
        <v>0.49957399103139011</v>
      </c>
      <c r="AK24" s="46">
        <v>22.231000000000002</v>
      </c>
      <c r="AL24" s="47">
        <v>0.4984529147982063</v>
      </c>
      <c r="AM24" s="46">
        <v>21.785</v>
      </c>
      <c r="AN24" s="47">
        <v>0.48845291479820624</v>
      </c>
      <c r="AO24" s="46">
        <v>20.486999999999998</v>
      </c>
      <c r="AP24" s="47">
        <v>0.45934977578475333</v>
      </c>
      <c r="AQ24" s="46">
        <v>19.66</v>
      </c>
      <c r="AR24" s="47">
        <v>0.44080717488789234</v>
      </c>
      <c r="AS24" s="46">
        <v>17.565999999999999</v>
      </c>
      <c r="AT24" s="47">
        <v>0.39385650224215241</v>
      </c>
      <c r="AU24" s="46">
        <v>15.754</v>
      </c>
      <c r="AV24" s="47">
        <v>0.35322869955156949</v>
      </c>
      <c r="AW24" s="46">
        <v>14.628</v>
      </c>
      <c r="AX24" s="47">
        <v>0.32798206278026903</v>
      </c>
      <c r="AY24" s="46">
        <v>14.067</v>
      </c>
      <c r="AZ24" s="47">
        <v>0.3154035874439462</v>
      </c>
      <c r="BA24" s="46">
        <v>13.048</v>
      </c>
      <c r="BB24" s="47">
        <v>0.29255605381165917</v>
      </c>
      <c r="BC24" s="46">
        <v>12.891999999999999</v>
      </c>
      <c r="BD24" s="47">
        <v>0.28905829596412552</v>
      </c>
      <c r="BE24" s="46">
        <v>13.305999999999999</v>
      </c>
      <c r="BF24" s="47">
        <v>0.29834080717488787</v>
      </c>
      <c r="BG24" s="46">
        <v>13.73</v>
      </c>
      <c r="BH24" s="47">
        <v>0.30784753363228701</v>
      </c>
      <c r="BI24" s="46">
        <v>16.585999999999999</v>
      </c>
      <c r="BJ24" s="47">
        <v>0.37188340807174886</v>
      </c>
      <c r="BK24" s="101" t="s">
        <v>86</v>
      </c>
      <c r="BL24" s="118"/>
    </row>
    <row r="25" spans="1:67">
      <c r="A25" s="38" t="s">
        <v>72</v>
      </c>
      <c r="B25" s="38" t="s">
        <v>87</v>
      </c>
      <c r="C25" s="39">
        <v>30</v>
      </c>
      <c r="D25" s="98" t="s">
        <v>79</v>
      </c>
      <c r="E25" s="42">
        <v>4</v>
      </c>
      <c r="F25" s="42">
        <v>4</v>
      </c>
      <c r="G25" s="42">
        <v>4</v>
      </c>
      <c r="H25" s="42">
        <v>4</v>
      </c>
      <c r="I25" s="42">
        <v>4</v>
      </c>
      <c r="J25" s="42">
        <v>4</v>
      </c>
      <c r="K25" s="108">
        <v>4</v>
      </c>
      <c r="L25" s="109">
        <v>4</v>
      </c>
      <c r="M25" s="115">
        <v>4.0999999999999996</v>
      </c>
      <c r="N25" s="115">
        <v>4.0999999999999996</v>
      </c>
      <c r="O25" s="116">
        <v>4.0999999999999996</v>
      </c>
      <c r="P25" s="116">
        <v>4.0999999999999996</v>
      </c>
      <c r="Q25" s="116">
        <v>4.0999999999999996</v>
      </c>
      <c r="R25" s="116">
        <v>4.0999999999999996</v>
      </c>
      <c r="S25" s="46">
        <v>1.129</v>
      </c>
      <c r="T25" s="47">
        <v>0.27536585365853661</v>
      </c>
      <c r="U25" s="46">
        <v>1.58</v>
      </c>
      <c r="V25" s="47">
        <v>0.38536585365853665</v>
      </c>
      <c r="W25" s="46">
        <v>1.44</v>
      </c>
      <c r="X25" s="47">
        <v>0.35121951219512199</v>
      </c>
      <c r="Y25" s="46">
        <v>1.2779799999999999</v>
      </c>
      <c r="Z25" s="47">
        <v>0.31170243902439027</v>
      </c>
      <c r="AA25" s="46">
        <v>1.4024000000000001</v>
      </c>
      <c r="AB25" s="47">
        <v>0.3420487804878049</v>
      </c>
      <c r="AC25" s="46">
        <v>1.66</v>
      </c>
      <c r="AD25" s="47">
        <v>0.40487804878048783</v>
      </c>
      <c r="AE25" s="46">
        <v>1.657</v>
      </c>
      <c r="AF25" s="47">
        <v>0.40414634146341466</v>
      </c>
      <c r="AG25" s="46">
        <v>1.6830000000000001</v>
      </c>
      <c r="AH25" s="47">
        <v>0.41048780487804881</v>
      </c>
      <c r="AI25" s="46">
        <v>1.6850000000000001</v>
      </c>
      <c r="AJ25" s="47">
        <v>0.41097560975609759</v>
      </c>
      <c r="AK25" s="46">
        <v>1.6936100000000001</v>
      </c>
      <c r="AL25" s="47">
        <v>0.41307560975609758</v>
      </c>
      <c r="AM25" s="46">
        <v>1.633</v>
      </c>
      <c r="AN25" s="47">
        <v>0.39829268292682929</v>
      </c>
      <c r="AO25" s="46">
        <v>1.5931249999999999</v>
      </c>
      <c r="AP25" s="47">
        <v>0.38856707317073169</v>
      </c>
      <c r="AQ25" s="46">
        <v>1.5348250000000001</v>
      </c>
      <c r="AR25" s="47">
        <v>0.37434756097560984</v>
      </c>
      <c r="AS25" s="46">
        <v>1.36392</v>
      </c>
      <c r="AT25" s="47">
        <v>0.33266341463414639</v>
      </c>
      <c r="AU25" s="46">
        <v>1.33578</v>
      </c>
      <c r="AV25" s="47">
        <v>0.32580000000000003</v>
      </c>
      <c r="AW25" s="46">
        <v>1.32908</v>
      </c>
      <c r="AX25" s="47">
        <v>0.32416585365853662</v>
      </c>
      <c r="AY25" s="46">
        <v>1.3106199999999999</v>
      </c>
      <c r="AZ25" s="47">
        <v>0.31966341463414633</v>
      </c>
      <c r="BA25" s="46">
        <v>1.3004199999999999</v>
      </c>
      <c r="BB25" s="47">
        <v>0.31717560975609754</v>
      </c>
      <c r="BC25" s="46">
        <v>1.28138025</v>
      </c>
      <c r="BD25" s="47">
        <v>0.31253176829268298</v>
      </c>
      <c r="BE25" s="46">
        <v>1.266</v>
      </c>
      <c r="BF25" s="47">
        <v>0.3087804878048781</v>
      </c>
      <c r="BG25" s="46">
        <v>1.2370000000000001</v>
      </c>
      <c r="BH25" s="47">
        <v>0.30170731707317078</v>
      </c>
      <c r="BI25" s="46">
        <v>1.3859999999999999</v>
      </c>
      <c r="BJ25" s="47">
        <v>0.3380487804878049</v>
      </c>
      <c r="BK25" s="117" t="s">
        <v>80</v>
      </c>
    </row>
    <row r="26" spans="1:67">
      <c r="A26" s="38" t="s">
        <v>72</v>
      </c>
      <c r="B26" s="38" t="s">
        <v>88</v>
      </c>
      <c r="C26" s="39">
        <v>11</v>
      </c>
      <c r="D26" s="98" t="s">
        <v>74</v>
      </c>
      <c r="E26" s="42">
        <v>1.87</v>
      </c>
      <c r="F26" s="42">
        <v>1.87</v>
      </c>
      <c r="G26" s="42">
        <v>1.87</v>
      </c>
      <c r="H26" s="42">
        <v>1.87</v>
      </c>
      <c r="I26" s="42">
        <v>1.87</v>
      </c>
      <c r="J26" s="42">
        <v>1.87</v>
      </c>
      <c r="K26" s="108">
        <v>1.87</v>
      </c>
      <c r="L26" s="109">
        <v>1.87</v>
      </c>
      <c r="M26" s="115">
        <v>1.87</v>
      </c>
      <c r="N26" s="115">
        <v>1.87</v>
      </c>
      <c r="O26" s="116">
        <v>1.87</v>
      </c>
      <c r="P26" s="116">
        <v>1.87</v>
      </c>
      <c r="Q26" s="116">
        <v>1.87</v>
      </c>
      <c r="R26" s="116">
        <v>1.87</v>
      </c>
      <c r="S26" s="46">
        <v>0.64400000000000002</v>
      </c>
      <c r="T26" s="47">
        <v>0.34438502673796789</v>
      </c>
      <c r="U26" s="46">
        <v>0.78</v>
      </c>
      <c r="V26" s="47">
        <v>0.41711229946524064</v>
      </c>
      <c r="W26" s="46">
        <v>0.85</v>
      </c>
      <c r="X26" s="47">
        <v>0.45454545454545453</v>
      </c>
      <c r="Y26" s="46">
        <v>0.98</v>
      </c>
      <c r="Z26" s="47">
        <v>0.52406417112299464</v>
      </c>
      <c r="AA26" s="46">
        <v>0.997</v>
      </c>
      <c r="AB26" s="47">
        <v>0.53315508021390368</v>
      </c>
      <c r="AC26" s="46">
        <v>1.0329999999999999</v>
      </c>
      <c r="AD26" s="47">
        <v>0.55240641711229943</v>
      </c>
      <c r="AE26" s="46">
        <v>1.026</v>
      </c>
      <c r="AF26" s="47">
        <v>0.548663101604278</v>
      </c>
      <c r="AG26" s="46">
        <v>1.0389999999999999</v>
      </c>
      <c r="AH26" s="47">
        <v>0.55561497326203202</v>
      </c>
      <c r="AI26" s="46">
        <v>1.0389999999999999</v>
      </c>
      <c r="AJ26" s="47">
        <v>0.55561497326203202</v>
      </c>
      <c r="AK26" s="46">
        <v>1.1634</v>
      </c>
      <c r="AL26" s="47">
        <v>0.62213903743315502</v>
      </c>
      <c r="AM26" s="46">
        <v>1.1639999999999999</v>
      </c>
      <c r="AN26" s="47">
        <v>0.62245989304812832</v>
      </c>
      <c r="AO26" s="46">
        <v>1.111</v>
      </c>
      <c r="AP26" s="47">
        <v>0.59411764705882353</v>
      </c>
      <c r="AQ26" s="46">
        <v>1.0814999999999999</v>
      </c>
      <c r="AR26" s="47">
        <v>0.57834224598930473</v>
      </c>
      <c r="AS26" s="114">
        <v>0.98</v>
      </c>
      <c r="AT26" s="47">
        <v>0.52406417112299464</v>
      </c>
      <c r="AU26" s="46">
        <v>0.92</v>
      </c>
      <c r="AV26" s="47">
        <v>0.49197860962566842</v>
      </c>
      <c r="AW26" s="46">
        <v>0.90200000000000002</v>
      </c>
      <c r="AX26" s="47">
        <v>0.4823529411764706</v>
      </c>
      <c r="AY26" s="46">
        <v>0.878</v>
      </c>
      <c r="AZ26" s="47">
        <v>0.46951871657754007</v>
      </c>
      <c r="BA26" s="46">
        <v>0.8</v>
      </c>
      <c r="BB26" s="47">
        <v>0.42780748663101603</v>
      </c>
      <c r="BC26" s="46">
        <v>0.73799999999999999</v>
      </c>
      <c r="BD26" s="47">
        <v>0.39465240641711224</v>
      </c>
      <c r="BE26" s="46">
        <v>0.67100000000000004</v>
      </c>
      <c r="BF26" s="47">
        <v>0.35882352941176471</v>
      </c>
      <c r="BG26" s="46">
        <v>0.63600000000000001</v>
      </c>
      <c r="BH26" s="47">
        <v>0.34010695187165774</v>
      </c>
      <c r="BI26" s="46">
        <v>0.67100000000000004</v>
      </c>
      <c r="BJ26" s="47">
        <v>0</v>
      </c>
      <c r="BK26" s="375" t="s">
        <v>75</v>
      </c>
    </row>
    <row r="27" spans="1:67">
      <c r="A27" s="38" t="s">
        <v>72</v>
      </c>
      <c r="B27" s="38" t="s">
        <v>89</v>
      </c>
      <c r="C27" s="39">
        <v>24</v>
      </c>
      <c r="D27" s="98" t="s">
        <v>77</v>
      </c>
      <c r="E27" s="42">
        <v>8</v>
      </c>
      <c r="F27" s="42">
        <v>8</v>
      </c>
      <c r="G27" s="42">
        <v>8</v>
      </c>
      <c r="H27" s="42">
        <v>8</v>
      </c>
      <c r="I27" s="42">
        <v>8</v>
      </c>
      <c r="J27" s="42">
        <v>8</v>
      </c>
      <c r="K27" s="108">
        <v>8</v>
      </c>
      <c r="L27" s="109">
        <v>8</v>
      </c>
      <c r="M27" s="115">
        <v>8</v>
      </c>
      <c r="N27" s="115">
        <v>8</v>
      </c>
      <c r="O27" s="116">
        <v>8</v>
      </c>
      <c r="P27" s="116">
        <v>8</v>
      </c>
      <c r="Q27" s="116">
        <v>8</v>
      </c>
      <c r="R27" s="116">
        <v>8</v>
      </c>
      <c r="S27" s="46">
        <v>2.0659999999999998</v>
      </c>
      <c r="T27" s="47">
        <v>0.25824999999999998</v>
      </c>
      <c r="U27" s="46">
        <v>3.41</v>
      </c>
      <c r="V27" s="47">
        <v>0.42625000000000002</v>
      </c>
      <c r="W27" s="46">
        <v>4.1900000000000004</v>
      </c>
      <c r="X27" s="47">
        <v>0.52375000000000005</v>
      </c>
      <c r="Y27" s="46">
        <v>6.4930000000000003</v>
      </c>
      <c r="Z27" s="47">
        <v>0.81162500000000004</v>
      </c>
      <c r="AA27" s="46">
        <v>7.1070000000000002</v>
      </c>
      <c r="AB27" s="47">
        <v>0.88837500000000003</v>
      </c>
      <c r="AC27" s="46">
        <v>7.0869999999999997</v>
      </c>
      <c r="AD27" s="47">
        <v>0.88587499999999997</v>
      </c>
      <c r="AE27" s="46">
        <v>7.0170000000000003</v>
      </c>
      <c r="AF27" s="47">
        <v>0.87712500000000004</v>
      </c>
      <c r="AG27" s="46">
        <v>6.9580000000000002</v>
      </c>
      <c r="AH27" s="47">
        <v>0.86975000000000002</v>
      </c>
      <c r="AI27" s="46">
        <v>6.8536000000000001</v>
      </c>
      <c r="AJ27" s="47">
        <v>0.85670000000000002</v>
      </c>
      <c r="AK27" s="46">
        <v>6.3547000000000002</v>
      </c>
      <c r="AL27" s="47">
        <v>0.79433750000000003</v>
      </c>
      <c r="AM27" s="46">
        <v>5.4359999999999999</v>
      </c>
      <c r="AN27" s="47">
        <v>0.67949999999999999</v>
      </c>
      <c r="AO27" s="46">
        <v>4.2683999999999997</v>
      </c>
      <c r="AP27" s="47">
        <v>0.53354999999999997</v>
      </c>
      <c r="AQ27" s="46">
        <v>3.5819000000000001</v>
      </c>
      <c r="AR27" s="47">
        <v>0.44773750000000001</v>
      </c>
      <c r="AS27" s="46">
        <v>3.1732999999999998</v>
      </c>
      <c r="AT27" s="47">
        <v>0.39666249999999997</v>
      </c>
      <c r="AU27" s="46">
        <v>2.7845</v>
      </c>
      <c r="AV27" s="47">
        <v>0.3480625</v>
      </c>
      <c r="AW27" s="46">
        <v>2.5905</v>
      </c>
      <c r="AX27" s="47">
        <v>0.3238125</v>
      </c>
      <c r="AY27" s="46">
        <v>2.4527999999999999</v>
      </c>
      <c r="AZ27" s="47">
        <v>0.30659999999999998</v>
      </c>
      <c r="BA27" s="46">
        <v>2.347</v>
      </c>
      <c r="BB27" s="47">
        <v>0.293375</v>
      </c>
      <c r="BC27" s="46">
        <v>2.1789999999999998</v>
      </c>
      <c r="BD27" s="47">
        <v>0.27237499999999998</v>
      </c>
      <c r="BE27" s="46">
        <v>2.0920000000000001</v>
      </c>
      <c r="BF27" s="47">
        <v>0.26150000000000001</v>
      </c>
      <c r="BG27" s="46">
        <v>2.226</v>
      </c>
      <c r="BH27" s="47">
        <v>0.27825</v>
      </c>
      <c r="BI27" s="46">
        <v>6.4749999999999996</v>
      </c>
      <c r="BJ27" s="47">
        <v>0.80937499999999996</v>
      </c>
      <c r="BK27" s="375" t="s">
        <v>42</v>
      </c>
    </row>
    <row r="28" spans="1:67">
      <c r="A28" s="38" t="s">
        <v>72</v>
      </c>
      <c r="B28" s="38" t="s">
        <v>90</v>
      </c>
      <c r="C28" s="39">
        <v>12</v>
      </c>
      <c r="D28" s="98" t="s">
        <v>91</v>
      </c>
      <c r="E28" s="42">
        <v>4</v>
      </c>
      <c r="F28" s="42">
        <v>4</v>
      </c>
      <c r="G28" s="42">
        <v>4</v>
      </c>
      <c r="H28" s="42">
        <v>4</v>
      </c>
      <c r="I28" s="42">
        <v>4</v>
      </c>
      <c r="J28" s="42">
        <v>4</v>
      </c>
      <c r="K28" s="108">
        <v>4</v>
      </c>
      <c r="L28" s="109">
        <v>4</v>
      </c>
      <c r="M28" s="115">
        <v>4</v>
      </c>
      <c r="N28" s="115">
        <v>4</v>
      </c>
      <c r="O28" s="116">
        <v>4</v>
      </c>
      <c r="P28" s="116">
        <v>4</v>
      </c>
      <c r="Q28" s="116">
        <v>4</v>
      </c>
      <c r="R28" s="116">
        <v>4</v>
      </c>
      <c r="S28" s="46">
        <v>1.03</v>
      </c>
      <c r="T28" s="47">
        <v>0.25750000000000001</v>
      </c>
      <c r="U28" s="46">
        <v>1.1599999999999999</v>
      </c>
      <c r="V28" s="47">
        <v>0.28999999999999998</v>
      </c>
      <c r="W28" s="46">
        <v>1.17</v>
      </c>
      <c r="X28" s="47">
        <v>0.29249999999999998</v>
      </c>
      <c r="Y28" s="46">
        <v>1.24</v>
      </c>
      <c r="Z28" s="47">
        <v>0.31</v>
      </c>
      <c r="AA28" s="46">
        <v>1.5</v>
      </c>
      <c r="AB28" s="47">
        <v>0.375</v>
      </c>
      <c r="AC28" s="46">
        <v>1.95</v>
      </c>
      <c r="AD28" s="47">
        <v>0.48749999999999999</v>
      </c>
      <c r="AE28" s="46">
        <v>1.97</v>
      </c>
      <c r="AF28" s="47">
        <v>0.49249999999999999</v>
      </c>
      <c r="AG28" s="46">
        <v>2.23</v>
      </c>
      <c r="AH28" s="47">
        <v>0.5575</v>
      </c>
      <c r="AI28" s="46">
        <v>2.2850000000000001</v>
      </c>
      <c r="AJ28" s="47">
        <v>0.57125000000000004</v>
      </c>
      <c r="AK28" s="46">
        <v>2.2799999999999998</v>
      </c>
      <c r="AL28" s="47">
        <v>0.56999999999999995</v>
      </c>
      <c r="AM28" s="46">
        <v>2.0299999999999998</v>
      </c>
      <c r="AN28" s="47">
        <v>0.50749999999999995</v>
      </c>
      <c r="AO28" s="46">
        <v>1.95</v>
      </c>
      <c r="AP28" s="47">
        <v>0.48749999999999999</v>
      </c>
      <c r="AQ28" s="46">
        <v>1.85</v>
      </c>
      <c r="AR28" s="47">
        <v>0.46250000000000002</v>
      </c>
      <c r="AS28" s="46">
        <v>1.64</v>
      </c>
      <c r="AT28" s="47">
        <v>0.41</v>
      </c>
      <c r="AU28" s="46">
        <v>1.496</v>
      </c>
      <c r="AV28" s="47">
        <v>0.374</v>
      </c>
      <c r="AW28" s="46">
        <v>1.43</v>
      </c>
      <c r="AX28" s="47">
        <v>0.35749999999999998</v>
      </c>
      <c r="AY28" s="46">
        <v>1.39</v>
      </c>
      <c r="AZ28" s="47">
        <v>0.34749999999999998</v>
      </c>
      <c r="BA28" s="46">
        <v>1.29</v>
      </c>
      <c r="BB28" s="47">
        <v>0.32250000000000001</v>
      </c>
      <c r="BC28" s="46">
        <v>1.25</v>
      </c>
      <c r="BD28" s="47">
        <v>0.3125</v>
      </c>
      <c r="BE28" s="46">
        <v>1.1950000000000001</v>
      </c>
      <c r="BF28" s="47">
        <v>0.29875000000000002</v>
      </c>
      <c r="BG28" s="46">
        <v>1.17</v>
      </c>
      <c r="BH28" s="47">
        <v>0.29249999999999998</v>
      </c>
      <c r="BI28" s="46">
        <v>1.3</v>
      </c>
      <c r="BJ28" s="47">
        <v>0.32500000000000001</v>
      </c>
      <c r="BK28" s="375" t="s">
        <v>92</v>
      </c>
      <c r="BL28" s="119"/>
    </row>
    <row r="29" spans="1:67">
      <c r="A29" s="38" t="s">
        <v>72</v>
      </c>
      <c r="B29" s="38" t="s">
        <v>93</v>
      </c>
      <c r="C29" s="39">
        <v>38</v>
      </c>
      <c r="D29" s="98" t="s">
        <v>94</v>
      </c>
      <c r="E29" s="42">
        <v>60</v>
      </c>
      <c r="F29" s="42">
        <v>60</v>
      </c>
      <c r="G29" s="42">
        <v>60</v>
      </c>
      <c r="H29" s="42">
        <v>60</v>
      </c>
      <c r="I29" s="42">
        <v>60</v>
      </c>
      <c r="J29" s="42">
        <v>60</v>
      </c>
      <c r="K29" s="108">
        <v>60</v>
      </c>
      <c r="L29" s="109">
        <v>60</v>
      </c>
      <c r="M29" s="115">
        <v>60</v>
      </c>
      <c r="N29" s="115">
        <v>60</v>
      </c>
      <c r="O29" s="116">
        <v>60.57</v>
      </c>
      <c r="P29" s="116">
        <v>60.57</v>
      </c>
      <c r="Q29" s="116">
        <v>60.57</v>
      </c>
      <c r="R29" s="116">
        <v>60.57</v>
      </c>
      <c r="S29" s="120">
        <v>10.768000000000001</v>
      </c>
      <c r="T29" s="47">
        <v>0.17777777777777778</v>
      </c>
      <c r="U29" s="120">
        <v>12.8</v>
      </c>
      <c r="V29" s="47">
        <v>0.21132573881459468</v>
      </c>
      <c r="W29" s="120">
        <v>13.74</v>
      </c>
      <c r="X29" s="47">
        <v>0.22684497275879148</v>
      </c>
      <c r="Y29" s="120">
        <v>18.38</v>
      </c>
      <c r="Z29" s="47">
        <v>0.30345055307908203</v>
      </c>
      <c r="AA29" s="114">
        <v>24.9</v>
      </c>
      <c r="AB29" s="47">
        <v>0.4110946012877662</v>
      </c>
      <c r="AC29" s="120">
        <v>37.44</v>
      </c>
      <c r="AD29" s="47">
        <v>0.61812778603268936</v>
      </c>
      <c r="AE29" s="120">
        <v>38.96</v>
      </c>
      <c r="AF29" s="47">
        <v>0.64322271751692262</v>
      </c>
      <c r="AG29" s="120">
        <v>41.56</v>
      </c>
      <c r="AH29" s="47">
        <v>0.68614825821363712</v>
      </c>
      <c r="AI29" s="120">
        <v>41.75</v>
      </c>
      <c r="AJ29" s="47">
        <v>0.68928512464916625</v>
      </c>
      <c r="AK29" s="120">
        <v>41.53</v>
      </c>
      <c r="AL29" s="47">
        <v>0.68565296351329041</v>
      </c>
      <c r="AM29" s="120">
        <v>39.94</v>
      </c>
      <c r="AN29" s="47">
        <v>0.65940234439491496</v>
      </c>
      <c r="AO29" s="120">
        <v>37.49</v>
      </c>
      <c r="AP29" s="47">
        <v>0.61895327719993398</v>
      </c>
      <c r="AQ29" s="120">
        <v>35.799999999999997</v>
      </c>
      <c r="AR29" s="47">
        <v>0.5910516757470694</v>
      </c>
      <c r="AS29" s="120">
        <v>32.15</v>
      </c>
      <c r="AT29" s="47">
        <v>0.53079082053822024</v>
      </c>
      <c r="AU29" s="120">
        <v>29.64</v>
      </c>
      <c r="AV29" s="47">
        <v>0.4893511639425458</v>
      </c>
      <c r="AW29" s="120">
        <v>27.58</v>
      </c>
      <c r="AX29" s="47">
        <v>0.45534092785207197</v>
      </c>
      <c r="AY29" s="120">
        <v>25.72</v>
      </c>
      <c r="AZ29" s="47">
        <v>0.42463265643057618</v>
      </c>
      <c r="BA29" s="120">
        <v>23.52</v>
      </c>
      <c r="BB29" s="47">
        <v>0.38831104507181774</v>
      </c>
      <c r="BC29" s="120">
        <v>21.18</v>
      </c>
      <c r="BD29" s="47">
        <v>0.34967805844477462</v>
      </c>
      <c r="BE29" s="120">
        <v>18.68</v>
      </c>
      <c r="BF29" s="47">
        <v>0.30840350008254913</v>
      </c>
      <c r="BG29" s="120">
        <v>16.059999999999999</v>
      </c>
      <c r="BH29" s="47">
        <v>0.26514776291893677</v>
      </c>
      <c r="BI29" s="120">
        <v>14.45</v>
      </c>
      <c r="BJ29" s="47">
        <v>0.23856694733366351</v>
      </c>
      <c r="BK29" s="101" t="s">
        <v>95</v>
      </c>
    </row>
    <row r="30" spans="1:67">
      <c r="A30" s="38" t="s">
        <v>72</v>
      </c>
      <c r="B30" s="38" t="s">
        <v>96</v>
      </c>
      <c r="C30" s="39">
        <v>34</v>
      </c>
      <c r="D30" s="98" t="s">
        <v>79</v>
      </c>
      <c r="E30" s="42">
        <v>2.11</v>
      </c>
      <c r="F30" s="42">
        <v>2.11</v>
      </c>
      <c r="G30" s="42">
        <v>2.11</v>
      </c>
      <c r="H30" s="42">
        <v>2.11</v>
      </c>
      <c r="I30" s="42">
        <v>2.11</v>
      </c>
      <c r="J30" s="42">
        <v>2.11</v>
      </c>
      <c r="K30" s="108">
        <v>2.11</v>
      </c>
      <c r="L30" s="109">
        <v>2.11</v>
      </c>
      <c r="M30" s="115">
        <v>2.1</v>
      </c>
      <c r="N30" s="115">
        <v>2.1</v>
      </c>
      <c r="O30" s="116">
        <v>2.1</v>
      </c>
      <c r="P30" s="116">
        <v>2.1</v>
      </c>
      <c r="Q30" s="116">
        <v>2.1</v>
      </c>
      <c r="R30" s="116">
        <v>2.1</v>
      </c>
      <c r="S30" s="46">
        <v>0.224</v>
      </c>
      <c r="T30" s="47">
        <v>0.10666666666666666</v>
      </c>
      <c r="U30" s="46">
        <v>0.47799999999999998</v>
      </c>
      <c r="V30" s="47">
        <v>0.22761904761904761</v>
      </c>
      <c r="W30" s="46">
        <v>0.51</v>
      </c>
      <c r="X30" s="47">
        <v>0.24285714285714285</v>
      </c>
      <c r="Y30" s="46">
        <v>0.535439</v>
      </c>
      <c r="Z30" s="47">
        <v>0.25497095238095235</v>
      </c>
      <c r="AA30" s="46">
        <v>0.56947999999999999</v>
      </c>
      <c r="AB30" s="47">
        <v>0.27118095238095236</v>
      </c>
      <c r="AC30" s="46">
        <v>0.74</v>
      </c>
      <c r="AD30" s="47">
        <v>0.35238095238095235</v>
      </c>
      <c r="AE30" s="46">
        <v>0.75350200000000001</v>
      </c>
      <c r="AF30" s="47">
        <v>0.35881047619047618</v>
      </c>
      <c r="AG30" s="46">
        <v>0.76434000000000002</v>
      </c>
      <c r="AH30" s="47">
        <v>0.36397142857142856</v>
      </c>
      <c r="AI30" s="46">
        <v>0.76326000000000005</v>
      </c>
      <c r="AJ30" s="47">
        <v>0.36345714285714287</v>
      </c>
      <c r="AK30" s="46">
        <v>0.75482800000000005</v>
      </c>
      <c r="AL30" s="47">
        <v>0.3594419047619048</v>
      </c>
      <c r="AM30" s="46">
        <v>0.65400000000000003</v>
      </c>
      <c r="AN30" s="47">
        <v>0.31142857142857144</v>
      </c>
      <c r="AO30" s="46">
        <v>0.57481599999999999</v>
      </c>
      <c r="AP30" s="47">
        <v>0.27372190476190472</v>
      </c>
      <c r="AQ30" s="46">
        <v>0.50655899999999998</v>
      </c>
      <c r="AR30" s="47">
        <v>0.24121857142857142</v>
      </c>
      <c r="AS30" s="46">
        <v>0.400256</v>
      </c>
      <c r="AT30" s="47">
        <v>0.19059809523809523</v>
      </c>
      <c r="AU30" s="46">
        <v>0.25285000000000002</v>
      </c>
      <c r="AV30" s="47">
        <v>0.1204047619047619</v>
      </c>
      <c r="AW30" s="46">
        <v>0.22314999999999999</v>
      </c>
      <c r="AX30" s="47">
        <v>0.10626190476190475</v>
      </c>
      <c r="AY30" s="46">
        <v>0.17630699999999999</v>
      </c>
      <c r="AZ30" s="47">
        <v>8.3955714285714272E-2</v>
      </c>
      <c r="BA30" s="46">
        <v>0.16925903</v>
      </c>
      <c r="BB30" s="47">
        <v>8.0599538095238094E-2</v>
      </c>
      <c r="BC30" s="46">
        <v>0.13755200000000001</v>
      </c>
      <c r="BD30" s="47">
        <v>6.5500952380952382E-2</v>
      </c>
      <c r="BE30" s="46">
        <v>0.1176</v>
      </c>
      <c r="BF30" s="47">
        <v>5.5999999999999994E-2</v>
      </c>
      <c r="BG30" s="46">
        <v>0.14083000000000001</v>
      </c>
      <c r="BH30" s="47">
        <v>6.7061904761904767E-2</v>
      </c>
      <c r="BI30" s="46">
        <v>0.185</v>
      </c>
      <c r="BJ30" s="47">
        <v>8.8095238095238088E-2</v>
      </c>
      <c r="BK30" s="121" t="s">
        <v>80</v>
      </c>
    </row>
    <row r="31" spans="1:67" s="73" customFormat="1" ht="13.5" customHeight="1" thickBot="1">
      <c r="A31" s="414" t="s">
        <v>97</v>
      </c>
      <c r="B31" s="414"/>
      <c r="C31" s="373"/>
      <c r="D31" s="123"/>
      <c r="E31" s="65">
        <v>125.77</v>
      </c>
      <c r="F31" s="124">
        <v>139.31</v>
      </c>
      <c r="G31" s="124">
        <v>136.61000000000001</v>
      </c>
      <c r="H31" s="124">
        <v>136.61000000000001</v>
      </c>
      <c r="I31" s="124">
        <v>136.61000000000001</v>
      </c>
      <c r="J31" s="124">
        <v>136.61000000000001</v>
      </c>
      <c r="K31" s="124">
        <v>136.61000000000001</v>
      </c>
      <c r="L31" s="125">
        <v>136.61000000000001</v>
      </c>
      <c r="M31" s="126">
        <v>137.15</v>
      </c>
      <c r="N31" s="126">
        <v>137.10999999999999</v>
      </c>
      <c r="O31" s="127">
        <v>137.67999999999998</v>
      </c>
      <c r="P31" s="127">
        <v>137.68</v>
      </c>
      <c r="Q31" s="127">
        <v>137.67999999999998</v>
      </c>
      <c r="R31" s="127">
        <v>137.67999999999998</v>
      </c>
      <c r="S31" s="69">
        <v>37.582000000000001</v>
      </c>
      <c r="T31" s="70">
        <v>0.27296629866356775</v>
      </c>
      <c r="U31" s="69">
        <v>43.777000000000008</v>
      </c>
      <c r="V31" s="70">
        <v>0.31796194073213258</v>
      </c>
      <c r="W31" s="69">
        <v>45.800000000000004</v>
      </c>
      <c r="X31" s="70">
        <v>0.33265543288785598</v>
      </c>
      <c r="Y31" s="69">
        <v>54.520518999999993</v>
      </c>
      <c r="Z31" s="70">
        <v>0.39599447269029636</v>
      </c>
      <c r="AA31" s="69">
        <v>63.111079999999994</v>
      </c>
      <c r="AB31" s="70">
        <v>0.45838959907030796</v>
      </c>
      <c r="AC31" s="69">
        <v>79.027999999999992</v>
      </c>
      <c r="AD31" s="70">
        <v>0.57399767576990124</v>
      </c>
      <c r="AE31" s="69">
        <v>81.798502000000013</v>
      </c>
      <c r="AF31" s="70">
        <v>0.59412043869843134</v>
      </c>
      <c r="AG31" s="69">
        <v>85.866980000000012</v>
      </c>
      <c r="AH31" s="70">
        <v>0.62367068564787931</v>
      </c>
      <c r="AI31" s="69">
        <v>86.769980000000004</v>
      </c>
      <c r="AJ31" s="70">
        <v>0.63022937245787347</v>
      </c>
      <c r="AK31" s="69">
        <v>86.20443800000001</v>
      </c>
      <c r="AL31" s="70">
        <v>0.62612171702498565</v>
      </c>
      <c r="AM31" s="69">
        <v>82.626480000000001</v>
      </c>
      <c r="AN31" s="70">
        <v>0.60013422428820462</v>
      </c>
      <c r="AO31" s="69">
        <v>76.996200999999999</v>
      </c>
      <c r="AP31" s="70">
        <v>0.56790235285440338</v>
      </c>
      <c r="AQ31" s="69">
        <v>73.070975999999987</v>
      </c>
      <c r="AR31" s="70">
        <v>0.53895099572208283</v>
      </c>
      <c r="AS31" s="69">
        <v>65.942675999999992</v>
      </c>
      <c r="AT31" s="70">
        <v>0.47895610110400932</v>
      </c>
      <c r="AU31" s="69">
        <v>60.039790000000004</v>
      </c>
      <c r="AV31" s="70">
        <v>0.43608214700755382</v>
      </c>
      <c r="AW31" s="69">
        <v>56.278569999999995</v>
      </c>
      <c r="AX31" s="70">
        <v>0.40876358221963977</v>
      </c>
      <c r="AY31" s="69">
        <v>53.439247000000002</v>
      </c>
      <c r="AZ31" s="70">
        <v>0.38814095729227199</v>
      </c>
      <c r="BA31" s="69">
        <v>49.649859159999998</v>
      </c>
      <c r="BB31" s="70">
        <v>0.36061780331202792</v>
      </c>
      <c r="BC31" s="69">
        <v>46.175272249999999</v>
      </c>
      <c r="BD31" s="70">
        <v>0.33538111744625221</v>
      </c>
      <c r="BE31" s="69">
        <v>43.062600000000003</v>
      </c>
      <c r="BF31" s="70">
        <v>0.31277309703660672</v>
      </c>
      <c r="BG31" s="69">
        <v>40.833829999999999</v>
      </c>
      <c r="BH31" s="70">
        <v>0.29658505229517729</v>
      </c>
      <c r="BI31" s="69">
        <v>47.289999999999992</v>
      </c>
      <c r="BJ31" s="70">
        <v>0.34347762928529924</v>
      </c>
      <c r="BK31" s="71"/>
      <c r="BL31" s="72"/>
    </row>
    <row r="32" spans="1:67" ht="7.5" customHeight="1" thickBot="1">
      <c r="A32" s="102"/>
      <c r="B32" s="102"/>
      <c r="C32" s="103"/>
      <c r="D32" s="104"/>
      <c r="E32" s="96"/>
      <c r="F32" s="96"/>
      <c r="G32" s="96"/>
      <c r="H32" s="96"/>
      <c r="I32" s="96"/>
      <c r="J32" s="96"/>
      <c r="K32" s="96"/>
      <c r="L32" s="105"/>
      <c r="M32" s="128"/>
      <c r="N32" s="128"/>
      <c r="O32" s="129"/>
      <c r="P32" s="129"/>
      <c r="Q32" s="129"/>
      <c r="R32" s="129"/>
      <c r="S32" s="80"/>
      <c r="T32" s="81"/>
      <c r="U32" s="80"/>
      <c r="V32" s="81"/>
      <c r="W32" s="80"/>
      <c r="X32" s="81"/>
      <c r="Y32" s="80"/>
      <c r="Z32" s="81"/>
      <c r="AA32" s="80"/>
      <c r="AB32" s="81"/>
      <c r="AC32" s="80"/>
      <c r="AD32" s="81"/>
      <c r="AE32" s="80"/>
      <c r="AF32" s="81"/>
      <c r="AG32" s="80"/>
      <c r="AH32" s="81"/>
      <c r="AI32" s="80"/>
      <c r="AJ32" s="81"/>
      <c r="AK32" s="80"/>
      <c r="AL32" s="81"/>
      <c r="AM32" s="80"/>
      <c r="AN32" s="81"/>
      <c r="AO32" s="80"/>
      <c r="AP32" s="81"/>
      <c r="AQ32" s="80"/>
      <c r="AR32" s="81"/>
      <c r="AS32" s="80"/>
      <c r="AT32" s="81"/>
      <c r="AU32" s="80"/>
      <c r="AV32" s="81"/>
      <c r="AW32" s="80"/>
      <c r="AX32" s="81"/>
      <c r="AY32" s="80"/>
      <c r="AZ32" s="81"/>
      <c r="BA32" s="80"/>
      <c r="BB32" s="81"/>
      <c r="BC32" s="80"/>
      <c r="BD32" s="81"/>
      <c r="BE32" s="80"/>
      <c r="BF32" s="81"/>
      <c r="BG32" s="80"/>
      <c r="BH32" s="81"/>
      <c r="BI32" s="80"/>
      <c r="BJ32" s="81"/>
      <c r="BK32" s="82"/>
    </row>
    <row r="33" spans="1:64">
      <c r="A33" s="38" t="s">
        <v>98</v>
      </c>
      <c r="B33" s="38" t="s">
        <v>99</v>
      </c>
      <c r="C33" s="39">
        <v>28</v>
      </c>
      <c r="D33" s="98" t="s">
        <v>100</v>
      </c>
      <c r="E33" s="42">
        <v>10</v>
      </c>
      <c r="F33" s="42">
        <v>10</v>
      </c>
      <c r="G33" s="42">
        <v>10</v>
      </c>
      <c r="H33" s="42">
        <v>10</v>
      </c>
      <c r="I33" s="42">
        <v>10</v>
      </c>
      <c r="J33" s="42">
        <v>10</v>
      </c>
      <c r="K33" s="42">
        <v>10</v>
      </c>
      <c r="L33" s="43">
        <v>10</v>
      </c>
      <c r="M33" s="44">
        <v>10</v>
      </c>
      <c r="N33" s="44">
        <v>10</v>
      </c>
      <c r="O33" s="45">
        <v>10</v>
      </c>
      <c r="P33" s="45">
        <v>10</v>
      </c>
      <c r="Q33" s="45">
        <v>10</v>
      </c>
      <c r="R33" s="45">
        <v>10</v>
      </c>
      <c r="S33" s="112">
        <v>2.077</v>
      </c>
      <c r="T33" s="113">
        <v>0.2077</v>
      </c>
      <c r="U33" s="112">
        <v>4.29</v>
      </c>
      <c r="V33" s="113">
        <v>0.42899999999999999</v>
      </c>
      <c r="W33" s="112">
        <v>5.15</v>
      </c>
      <c r="X33" s="113">
        <v>0.51500000000000001</v>
      </c>
      <c r="Y33" s="112">
        <v>6.0919999999999996</v>
      </c>
      <c r="Z33" s="113">
        <v>0.60919999999999996</v>
      </c>
      <c r="AA33" s="112">
        <v>7.6219999999999999</v>
      </c>
      <c r="AB33" s="113">
        <v>0.76219999999999999</v>
      </c>
      <c r="AC33" s="112">
        <v>9.1929999999999996</v>
      </c>
      <c r="AD33" s="113">
        <v>0.91930000000000001</v>
      </c>
      <c r="AE33" s="112">
        <v>9.8420000000000005</v>
      </c>
      <c r="AF33" s="113">
        <v>0.98420000000000007</v>
      </c>
      <c r="AG33" s="112">
        <v>9.9846000000000004</v>
      </c>
      <c r="AH33" s="113">
        <v>0.99846000000000001</v>
      </c>
      <c r="AI33" s="112">
        <v>9.9846000000000004</v>
      </c>
      <c r="AJ33" s="113">
        <v>0.99846000000000001</v>
      </c>
      <c r="AK33" s="112">
        <v>9.9041999999999994</v>
      </c>
      <c r="AL33" s="113">
        <v>0.99041999999999997</v>
      </c>
      <c r="AM33" s="112">
        <v>9.2149000000000001</v>
      </c>
      <c r="AN33" s="113">
        <v>0.92149000000000003</v>
      </c>
      <c r="AO33" s="112">
        <v>7.7370000000000001</v>
      </c>
      <c r="AP33" s="113">
        <v>0.77370000000000005</v>
      </c>
      <c r="AQ33" s="112">
        <v>6.7925000000000004</v>
      </c>
      <c r="AR33" s="113">
        <v>0.67925000000000002</v>
      </c>
      <c r="AS33" s="112">
        <v>5.4337999999999997</v>
      </c>
      <c r="AT33" s="113">
        <v>0.54337999999999997</v>
      </c>
      <c r="AU33" s="112">
        <v>4.8604000000000003</v>
      </c>
      <c r="AV33" s="113">
        <v>0.48604000000000003</v>
      </c>
      <c r="AW33" s="112">
        <v>4.5130999999999997</v>
      </c>
      <c r="AX33" s="113">
        <v>0.45130999999999999</v>
      </c>
      <c r="AY33" s="112">
        <v>4.3379000000000003</v>
      </c>
      <c r="AZ33" s="113">
        <v>0.43379000000000001</v>
      </c>
      <c r="BA33" s="112">
        <v>4.0072000000000001</v>
      </c>
      <c r="BB33" s="113">
        <v>0.40072000000000002</v>
      </c>
      <c r="BC33" s="112">
        <v>4.0328999999999997</v>
      </c>
      <c r="BD33" s="113">
        <v>0.40328999999999998</v>
      </c>
      <c r="BE33" s="112">
        <v>3.819</v>
      </c>
      <c r="BF33" s="113">
        <v>0.38190000000000002</v>
      </c>
      <c r="BG33" s="112">
        <v>3.6709999999999998</v>
      </c>
      <c r="BH33" s="113">
        <v>0.36709999999999998</v>
      </c>
      <c r="BI33" s="112">
        <v>4.0250000000000004</v>
      </c>
      <c r="BJ33" s="113">
        <v>0.40250000000000002</v>
      </c>
      <c r="BK33" s="375" t="s">
        <v>42</v>
      </c>
    </row>
    <row r="34" spans="1:64">
      <c r="A34" s="38" t="s">
        <v>98</v>
      </c>
      <c r="B34" s="38" t="s">
        <v>101</v>
      </c>
      <c r="C34" s="39">
        <v>43</v>
      </c>
      <c r="D34" s="98" t="s">
        <v>102</v>
      </c>
      <c r="E34" s="42">
        <v>2.2999999999999998</v>
      </c>
      <c r="F34" s="42">
        <v>2.2999999999999998</v>
      </c>
      <c r="G34" s="42">
        <v>2.2999999999999998</v>
      </c>
      <c r="H34" s="42">
        <v>2.2999999999999998</v>
      </c>
      <c r="I34" s="42">
        <v>2.2999999999999998</v>
      </c>
      <c r="J34" s="42">
        <v>2.2999999999999998</v>
      </c>
      <c r="K34" s="42">
        <v>2.2999999999999998</v>
      </c>
      <c r="L34" s="43">
        <v>2.2999999999999998</v>
      </c>
      <c r="M34" s="44">
        <v>2.2999999999999998</v>
      </c>
      <c r="N34" s="44">
        <v>2.2999999999999998</v>
      </c>
      <c r="O34" s="45">
        <v>2.2999999999999998</v>
      </c>
      <c r="P34" s="45">
        <v>2.2999999999999998</v>
      </c>
      <c r="Q34" s="45">
        <v>2.2999999999999998</v>
      </c>
      <c r="R34" s="45">
        <v>2.2999999999999998</v>
      </c>
      <c r="S34" s="46">
        <v>0.57099999999999995</v>
      </c>
      <c r="T34" s="47">
        <v>0.2482608695652174</v>
      </c>
      <c r="U34" s="46">
        <v>1.7</v>
      </c>
      <c r="V34" s="47">
        <v>0.73913043478260876</v>
      </c>
      <c r="W34" s="46">
        <v>1.81</v>
      </c>
      <c r="X34" s="47">
        <v>0.78695652173913055</v>
      </c>
      <c r="Y34" s="46">
        <v>2.1680000000000001</v>
      </c>
      <c r="Z34" s="47">
        <v>0.94260869565217409</v>
      </c>
      <c r="AA34" s="46">
        <v>2.2999999999999998</v>
      </c>
      <c r="AB34" s="47">
        <v>1</v>
      </c>
      <c r="AC34" s="46">
        <v>2.2999999999999998</v>
      </c>
      <c r="AD34" s="47">
        <v>1</v>
      </c>
      <c r="AE34" s="46">
        <v>2.2999999999999998</v>
      </c>
      <c r="AF34" s="47">
        <v>1</v>
      </c>
      <c r="AG34" s="46">
        <v>2.2999999999999998</v>
      </c>
      <c r="AH34" s="47">
        <v>1</v>
      </c>
      <c r="AI34" s="46">
        <v>2.2999999999999998</v>
      </c>
      <c r="AJ34" s="47">
        <v>1</v>
      </c>
      <c r="AK34" s="46">
        <v>2.2688000000000001</v>
      </c>
      <c r="AL34" s="47">
        <v>0.98643478260869577</v>
      </c>
      <c r="AM34" s="46">
        <v>2.2008000000000001</v>
      </c>
      <c r="AN34" s="47">
        <v>0.95686956521739142</v>
      </c>
      <c r="AO34" s="46">
        <v>1.98</v>
      </c>
      <c r="AP34" s="47">
        <v>0.86086956521739133</v>
      </c>
      <c r="AQ34" s="46">
        <v>1.8090999999999999</v>
      </c>
      <c r="AR34" s="47">
        <v>0.78656521739130436</v>
      </c>
      <c r="AS34" s="46">
        <v>1.4862</v>
      </c>
      <c r="AT34" s="47">
        <v>0.64617391304347827</v>
      </c>
      <c r="AU34" s="46">
        <v>1.3043</v>
      </c>
      <c r="AV34" s="47">
        <v>0.56708695652173913</v>
      </c>
      <c r="AW34" s="46">
        <v>1.2353000000000001</v>
      </c>
      <c r="AX34" s="47">
        <v>0.53708695652173921</v>
      </c>
      <c r="AY34" s="46">
        <v>1.1950000000000001</v>
      </c>
      <c r="AZ34" s="47">
        <v>0.51956521739130446</v>
      </c>
      <c r="BA34" s="46">
        <v>1.0803</v>
      </c>
      <c r="BB34" s="47">
        <v>0.46969565217391307</v>
      </c>
      <c r="BC34" s="46">
        <v>1.0109999999999999</v>
      </c>
      <c r="BD34" s="47">
        <v>0.43956521739130433</v>
      </c>
      <c r="BE34" s="46">
        <v>0.96699999999999997</v>
      </c>
      <c r="BF34" s="47">
        <v>0.42043478260869566</v>
      </c>
      <c r="BG34" s="46">
        <v>0.81599999999999995</v>
      </c>
      <c r="BH34" s="47">
        <v>0.3547826086956522</v>
      </c>
      <c r="BI34" s="46">
        <v>1.7370000000000001</v>
      </c>
      <c r="BJ34" s="47">
        <v>0.75521739130434795</v>
      </c>
      <c r="BK34" s="375" t="s">
        <v>42</v>
      </c>
    </row>
    <row r="35" spans="1:64">
      <c r="A35" s="38" t="s">
        <v>98</v>
      </c>
      <c r="B35" s="38" t="s">
        <v>103</v>
      </c>
      <c r="C35" s="39">
        <v>47</v>
      </c>
      <c r="D35" s="98" t="s">
        <v>104</v>
      </c>
      <c r="E35" s="42">
        <v>3.4</v>
      </c>
      <c r="F35" s="42">
        <v>3.4</v>
      </c>
      <c r="G35" s="42">
        <v>3.4</v>
      </c>
      <c r="H35" s="42">
        <v>3.4</v>
      </c>
      <c r="I35" s="42">
        <v>3.4</v>
      </c>
      <c r="J35" s="42">
        <v>3.4</v>
      </c>
      <c r="K35" s="42">
        <v>3.4</v>
      </c>
      <c r="L35" s="43">
        <v>3.4</v>
      </c>
      <c r="M35" s="130">
        <v>3.4</v>
      </c>
      <c r="N35" s="44">
        <v>3.4</v>
      </c>
      <c r="O35" s="45">
        <v>3.4</v>
      </c>
      <c r="P35" s="45">
        <v>3.4</v>
      </c>
      <c r="Q35" s="45">
        <v>3.4</v>
      </c>
      <c r="R35" s="45">
        <v>3.4</v>
      </c>
      <c r="S35" s="46">
        <v>1.577</v>
      </c>
      <c r="T35" s="47">
        <v>0.46382352941176469</v>
      </c>
      <c r="U35" s="46">
        <v>2.52</v>
      </c>
      <c r="V35" s="47">
        <v>0.74117647058823533</v>
      </c>
      <c r="W35" s="46">
        <v>2.4500000000000002</v>
      </c>
      <c r="X35" s="47">
        <v>0.72058823529411775</v>
      </c>
      <c r="Y35" s="46">
        <v>2.649</v>
      </c>
      <c r="Z35" s="47">
        <v>0.77911764705882358</v>
      </c>
      <c r="AA35" s="46">
        <v>3.1440000000000001</v>
      </c>
      <c r="AB35" s="47">
        <v>0.92470588235294127</v>
      </c>
      <c r="AC35" s="46">
        <v>3.4</v>
      </c>
      <c r="AD35" s="47">
        <v>1</v>
      </c>
      <c r="AE35" s="46">
        <v>3.4</v>
      </c>
      <c r="AF35" s="47">
        <v>1</v>
      </c>
      <c r="AG35" s="46">
        <v>3.3639999999999999</v>
      </c>
      <c r="AH35" s="47">
        <v>0.98941176470588232</v>
      </c>
      <c r="AI35" s="46">
        <v>3.3574000000000002</v>
      </c>
      <c r="AJ35" s="47">
        <v>0.98747058823529421</v>
      </c>
      <c r="AK35" s="46">
        <v>3.2486000000000002</v>
      </c>
      <c r="AL35" s="47">
        <v>0.95547058823529418</v>
      </c>
      <c r="AM35" s="46">
        <v>2.85</v>
      </c>
      <c r="AN35" s="47">
        <v>0.83823529411764708</v>
      </c>
      <c r="AO35" s="46">
        <v>2.2538</v>
      </c>
      <c r="AP35" s="47">
        <v>0.66288235294117648</v>
      </c>
      <c r="AQ35" s="46">
        <v>1.8280000000000001</v>
      </c>
      <c r="AR35" s="47">
        <v>0.53764705882352948</v>
      </c>
      <c r="AS35" s="46">
        <v>1.349</v>
      </c>
      <c r="AT35" s="47">
        <v>0.39676470588235296</v>
      </c>
      <c r="AU35" s="46">
        <v>1.0277000000000001</v>
      </c>
      <c r="AV35" s="47">
        <v>0.30226470588235299</v>
      </c>
      <c r="AW35" s="46">
        <v>1.0273000000000001</v>
      </c>
      <c r="AX35" s="47">
        <v>0.30214705882352944</v>
      </c>
      <c r="AY35" s="46">
        <v>1.0284</v>
      </c>
      <c r="AZ35" s="47">
        <v>0.3024705882352941</v>
      </c>
      <c r="BA35" s="46">
        <v>0.94391999999999998</v>
      </c>
      <c r="BB35" s="47">
        <v>0.27762352941176471</v>
      </c>
      <c r="BC35" s="46">
        <v>0.87517</v>
      </c>
      <c r="BD35" s="47">
        <v>0.25740294117647061</v>
      </c>
      <c r="BE35" s="46">
        <v>0.84199999999999997</v>
      </c>
      <c r="BF35" s="47">
        <v>0.24764705882352941</v>
      </c>
      <c r="BG35" s="46">
        <v>0.81899999999999995</v>
      </c>
      <c r="BH35" s="47">
        <v>0.24088235294117646</v>
      </c>
      <c r="BI35" s="46">
        <v>1.52</v>
      </c>
      <c r="BJ35" s="47">
        <v>0.44705882352941179</v>
      </c>
      <c r="BK35" s="375" t="s">
        <v>42</v>
      </c>
    </row>
    <row r="36" spans="1:64">
      <c r="A36" s="38" t="s">
        <v>98</v>
      </c>
      <c r="B36" s="38" t="s">
        <v>105</v>
      </c>
      <c r="C36" s="39">
        <v>27</v>
      </c>
      <c r="D36" s="98" t="s">
        <v>106</v>
      </c>
      <c r="E36" s="42">
        <v>24</v>
      </c>
      <c r="F36" s="42">
        <v>24</v>
      </c>
      <c r="G36" s="42">
        <v>24</v>
      </c>
      <c r="H36" s="42">
        <v>24</v>
      </c>
      <c r="I36" s="42">
        <v>24</v>
      </c>
      <c r="J36" s="42">
        <v>24</v>
      </c>
      <c r="K36" s="42">
        <v>24</v>
      </c>
      <c r="L36" s="43">
        <v>24</v>
      </c>
      <c r="M36" s="44">
        <v>24</v>
      </c>
      <c r="N36" s="44">
        <v>24</v>
      </c>
      <c r="O36" s="45">
        <v>24</v>
      </c>
      <c r="P36" s="45">
        <v>24</v>
      </c>
      <c r="Q36" s="45">
        <v>24</v>
      </c>
      <c r="R36" s="45">
        <v>24</v>
      </c>
      <c r="S36" s="46">
        <v>7.7210000000000001</v>
      </c>
      <c r="T36" s="47">
        <v>0.32170833333333332</v>
      </c>
      <c r="U36" s="46">
        <v>12</v>
      </c>
      <c r="V36" s="47">
        <v>0.5</v>
      </c>
      <c r="W36" s="46">
        <v>13.88</v>
      </c>
      <c r="X36" s="47">
        <v>0.57833333333333337</v>
      </c>
      <c r="Y36" s="46">
        <v>15.643000000000001</v>
      </c>
      <c r="Z36" s="47">
        <v>0.65179166666666666</v>
      </c>
      <c r="AA36" s="46">
        <v>18.901</v>
      </c>
      <c r="AB36" s="47">
        <v>0.7875416666666667</v>
      </c>
      <c r="AC36" s="46">
        <v>24</v>
      </c>
      <c r="AD36" s="47">
        <v>1</v>
      </c>
      <c r="AE36" s="46">
        <v>24</v>
      </c>
      <c r="AF36" s="47">
        <v>1</v>
      </c>
      <c r="AG36" s="46">
        <v>24</v>
      </c>
      <c r="AH36" s="47">
        <v>1</v>
      </c>
      <c r="AI36" s="46">
        <v>24</v>
      </c>
      <c r="AJ36" s="47">
        <v>1</v>
      </c>
      <c r="AK36" s="46">
        <v>23.824999999999999</v>
      </c>
      <c r="AL36" s="47">
        <v>0.9927083333333333</v>
      </c>
      <c r="AM36" s="46">
        <v>22.902999999999999</v>
      </c>
      <c r="AN36" s="47">
        <v>0.95429166666666665</v>
      </c>
      <c r="AO36" s="46">
        <v>20.97</v>
      </c>
      <c r="AP36" s="47">
        <v>0.87374999999999992</v>
      </c>
      <c r="AQ36" s="46">
        <v>19.489000000000001</v>
      </c>
      <c r="AR36" s="47">
        <v>0.81204166666666666</v>
      </c>
      <c r="AS36" s="46">
        <v>17.297999999999998</v>
      </c>
      <c r="AT36" s="47">
        <v>0.72074999999999989</v>
      </c>
      <c r="AU36" s="46">
        <v>16.183</v>
      </c>
      <c r="AV36" s="47">
        <v>0.67429166666666662</v>
      </c>
      <c r="AW36" s="46">
        <v>15.535</v>
      </c>
      <c r="AX36" s="47">
        <v>0.64729166666666671</v>
      </c>
      <c r="AY36" s="46">
        <v>15.192</v>
      </c>
      <c r="AZ36" s="47">
        <v>0.63300000000000001</v>
      </c>
      <c r="BA36" s="46">
        <v>14.72</v>
      </c>
      <c r="BB36" s="47">
        <v>0.6133333333333334</v>
      </c>
      <c r="BC36" s="46">
        <v>13.988</v>
      </c>
      <c r="BD36" s="47">
        <v>0.58283333333333331</v>
      </c>
      <c r="BE36" s="46">
        <v>12.986000000000001</v>
      </c>
      <c r="BF36" s="47">
        <v>0.54108333333333336</v>
      </c>
      <c r="BG36" s="46">
        <v>13.074</v>
      </c>
      <c r="BH36" s="47">
        <v>0.54474999999999996</v>
      </c>
      <c r="BI36" s="46">
        <v>15.603</v>
      </c>
      <c r="BJ36" s="47">
        <v>0.65012499999999995</v>
      </c>
      <c r="BK36" s="375" t="s">
        <v>42</v>
      </c>
    </row>
    <row r="37" spans="1:64">
      <c r="A37" s="38" t="s">
        <v>98</v>
      </c>
      <c r="B37" s="38" t="s">
        <v>107</v>
      </c>
      <c r="C37" s="39">
        <v>32</v>
      </c>
      <c r="D37" s="98" t="s">
        <v>108</v>
      </c>
      <c r="E37" s="42">
        <v>2</v>
      </c>
      <c r="F37" s="42">
        <v>2</v>
      </c>
      <c r="G37" s="42">
        <v>2</v>
      </c>
      <c r="H37" s="42">
        <v>2</v>
      </c>
      <c r="I37" s="42">
        <v>2</v>
      </c>
      <c r="J37" s="42">
        <v>2</v>
      </c>
      <c r="K37" s="42">
        <v>2.5</v>
      </c>
      <c r="L37" s="43">
        <v>2.5</v>
      </c>
      <c r="M37" s="44">
        <v>2.5</v>
      </c>
      <c r="N37" s="44">
        <v>2.5</v>
      </c>
      <c r="O37" s="45">
        <v>2.5</v>
      </c>
      <c r="P37" s="45">
        <v>2.5</v>
      </c>
      <c r="Q37" s="45">
        <v>2.5</v>
      </c>
      <c r="R37" s="45">
        <v>2.5</v>
      </c>
      <c r="S37" s="46">
        <v>1.1080000000000001</v>
      </c>
      <c r="T37" s="47">
        <v>0.44320000000000004</v>
      </c>
      <c r="U37" s="46">
        <v>2.46</v>
      </c>
      <c r="V37" s="47">
        <v>0.98399999999999999</v>
      </c>
      <c r="W37" s="46">
        <v>2.4900000000000002</v>
      </c>
      <c r="X37" s="47">
        <v>0.996</v>
      </c>
      <c r="Y37" s="46">
        <v>2.4590000000000001</v>
      </c>
      <c r="Z37" s="47">
        <v>0.98360000000000003</v>
      </c>
      <c r="AA37" s="46">
        <v>2.4820000000000002</v>
      </c>
      <c r="AB37" s="47">
        <v>0.99280000000000013</v>
      </c>
      <c r="AC37" s="46">
        <v>2.5</v>
      </c>
      <c r="AD37" s="47">
        <v>1</v>
      </c>
      <c r="AE37" s="46">
        <v>2.46</v>
      </c>
      <c r="AF37" s="47">
        <v>0.98399999999999999</v>
      </c>
      <c r="AG37" s="46">
        <v>2.5</v>
      </c>
      <c r="AH37" s="47">
        <v>1</v>
      </c>
      <c r="AI37" s="46">
        <v>2.5</v>
      </c>
      <c r="AJ37" s="47">
        <v>1</v>
      </c>
      <c r="AK37" s="46">
        <v>2.3386999999999998</v>
      </c>
      <c r="AL37" s="47">
        <v>0.93547999999999987</v>
      </c>
      <c r="AM37" s="46">
        <v>2.4007999999999998</v>
      </c>
      <c r="AN37" s="47">
        <v>0.96031999999999995</v>
      </c>
      <c r="AO37" s="46">
        <v>2.5</v>
      </c>
      <c r="AP37" s="47">
        <v>1</v>
      </c>
      <c r="AQ37" s="46">
        <v>1.4838</v>
      </c>
      <c r="AR37" s="47">
        <v>0.59352000000000005</v>
      </c>
      <c r="AS37" s="46">
        <v>0.98823000000000005</v>
      </c>
      <c r="AT37" s="47">
        <v>0.39529200000000003</v>
      </c>
      <c r="AU37" s="46">
        <v>0.81398999999999999</v>
      </c>
      <c r="AV37" s="47">
        <v>0.325596</v>
      </c>
      <c r="AW37" s="46">
        <v>0.78722000000000003</v>
      </c>
      <c r="AX37" s="47">
        <v>0.314888</v>
      </c>
      <c r="AY37" s="46">
        <v>0.73790999999999995</v>
      </c>
      <c r="AZ37" s="47">
        <v>0.29516399999999998</v>
      </c>
      <c r="BA37" s="46">
        <v>0.60840000000000005</v>
      </c>
      <c r="BB37" s="47">
        <v>0.24336000000000002</v>
      </c>
      <c r="BC37" s="46">
        <v>0.45172000000000001</v>
      </c>
      <c r="BD37" s="47">
        <v>0.18068800000000002</v>
      </c>
      <c r="BE37" s="46">
        <v>0.33400000000000002</v>
      </c>
      <c r="BF37" s="47">
        <v>0.1336</v>
      </c>
      <c r="BG37" s="46">
        <v>0.52</v>
      </c>
      <c r="BH37" s="47">
        <v>0.20800000000000002</v>
      </c>
      <c r="BI37" s="46">
        <v>1.9570000000000001</v>
      </c>
      <c r="BJ37" s="47">
        <v>0.78280000000000005</v>
      </c>
      <c r="BK37" s="375" t="s">
        <v>42</v>
      </c>
    </row>
    <row r="38" spans="1:64">
      <c r="A38" s="38" t="s">
        <v>98</v>
      </c>
      <c r="B38" s="38" t="s">
        <v>109</v>
      </c>
      <c r="C38" s="39">
        <v>25</v>
      </c>
      <c r="D38" s="98" t="s">
        <v>104</v>
      </c>
      <c r="E38" s="42">
        <v>3.72</v>
      </c>
      <c r="F38" s="42">
        <v>3.72</v>
      </c>
      <c r="G38" s="42">
        <v>3.72</v>
      </c>
      <c r="H38" s="42">
        <v>3.72</v>
      </c>
      <c r="I38" s="42">
        <v>3.72</v>
      </c>
      <c r="J38" s="42">
        <v>3.72</v>
      </c>
      <c r="K38" s="42">
        <v>3.72</v>
      </c>
      <c r="L38" s="43">
        <v>3.72</v>
      </c>
      <c r="M38" s="44">
        <v>3.72</v>
      </c>
      <c r="N38" s="44">
        <v>3.72</v>
      </c>
      <c r="O38" s="45">
        <v>3.72</v>
      </c>
      <c r="P38" s="45">
        <v>3.72</v>
      </c>
      <c r="Q38" s="45">
        <v>3.72</v>
      </c>
      <c r="R38" s="45">
        <v>3.72</v>
      </c>
      <c r="S38" s="46">
        <v>1.0680000000000001</v>
      </c>
      <c r="T38" s="47">
        <v>0.2870967741935484</v>
      </c>
      <c r="U38" s="46">
        <v>2.59</v>
      </c>
      <c r="V38" s="47">
        <v>0.69623655913978488</v>
      </c>
      <c r="W38" s="46">
        <v>2.61</v>
      </c>
      <c r="X38" s="47">
        <v>0.70161290322580638</v>
      </c>
      <c r="Y38" s="46">
        <v>2.677</v>
      </c>
      <c r="Z38" s="47">
        <v>0.71962365591397848</v>
      </c>
      <c r="AA38" s="46">
        <v>2.8570000000000002</v>
      </c>
      <c r="AB38" s="47">
        <v>0.76801075268817209</v>
      </c>
      <c r="AC38" s="46">
        <v>3.1160000000000001</v>
      </c>
      <c r="AD38" s="47">
        <v>0.83763440860215055</v>
      </c>
      <c r="AE38" s="46">
        <v>3.1230000000000002</v>
      </c>
      <c r="AF38" s="47">
        <v>0.83951612903225803</v>
      </c>
      <c r="AG38" s="46">
        <v>3.1074999999999999</v>
      </c>
      <c r="AH38" s="47">
        <v>0.83534946236559138</v>
      </c>
      <c r="AI38" s="46">
        <v>3.0550000000000002</v>
      </c>
      <c r="AJ38" s="47">
        <v>0.82123655913978499</v>
      </c>
      <c r="AK38" s="46">
        <v>3.0110000000000001</v>
      </c>
      <c r="AL38" s="47">
        <v>0.80940860215053767</v>
      </c>
      <c r="AM38" s="46">
        <v>2.8296999999999999</v>
      </c>
      <c r="AN38" s="47">
        <v>0.76067204301075264</v>
      </c>
      <c r="AO38" s="46">
        <v>2.6419999999999999</v>
      </c>
      <c r="AP38" s="47">
        <v>0.71021505376344085</v>
      </c>
      <c r="AQ38" s="46">
        <v>2.4904999999999999</v>
      </c>
      <c r="AR38" s="47">
        <v>0.66948924731182791</v>
      </c>
      <c r="AS38" s="46">
        <v>2.3264</v>
      </c>
      <c r="AT38" s="47">
        <v>0.6253763440860215</v>
      </c>
      <c r="AU38" s="46">
        <v>2.1349999999999998</v>
      </c>
      <c r="AV38" s="47">
        <v>0.57392473118279563</v>
      </c>
      <c r="AW38" s="46">
        <v>1.9313</v>
      </c>
      <c r="AX38" s="47">
        <v>0.51916666666666667</v>
      </c>
      <c r="AY38" s="46">
        <v>1.8822000000000001</v>
      </c>
      <c r="AZ38" s="47">
        <v>0.50596774193548388</v>
      </c>
      <c r="BA38" s="46">
        <v>1.7974000000000001</v>
      </c>
      <c r="BB38" s="47">
        <v>0.48317204301075267</v>
      </c>
      <c r="BC38" s="46">
        <v>1.6573</v>
      </c>
      <c r="BD38" s="47">
        <v>0.44551075268817203</v>
      </c>
      <c r="BE38" s="46">
        <v>1.5329999999999999</v>
      </c>
      <c r="BF38" s="47">
        <v>0.41209677419354834</v>
      </c>
      <c r="BG38" s="46">
        <v>1.4870000000000001</v>
      </c>
      <c r="BH38" s="47">
        <v>0.39973118279569891</v>
      </c>
      <c r="BI38" s="46">
        <v>2.13</v>
      </c>
      <c r="BJ38" s="47">
        <v>0.57258064516129026</v>
      </c>
      <c r="BK38" s="375" t="s">
        <v>42</v>
      </c>
    </row>
    <row r="39" spans="1:64">
      <c r="A39" s="38" t="s">
        <v>98</v>
      </c>
      <c r="B39" s="38" t="s">
        <v>110</v>
      </c>
      <c r="C39" s="39">
        <v>29</v>
      </c>
      <c r="D39" s="98" t="s">
        <v>111</v>
      </c>
      <c r="E39" s="42">
        <v>14</v>
      </c>
      <c r="F39" s="42">
        <v>14</v>
      </c>
      <c r="G39" s="42">
        <v>14</v>
      </c>
      <c r="H39" s="42">
        <v>14</v>
      </c>
      <c r="I39" s="42">
        <v>14</v>
      </c>
      <c r="J39" s="42">
        <v>14</v>
      </c>
      <c r="K39" s="42">
        <v>14</v>
      </c>
      <c r="L39" s="43">
        <v>14</v>
      </c>
      <c r="M39" s="44">
        <v>14</v>
      </c>
      <c r="N39" s="44">
        <v>14</v>
      </c>
      <c r="O39" s="45">
        <v>14</v>
      </c>
      <c r="P39" s="45">
        <v>14</v>
      </c>
      <c r="Q39" s="45">
        <v>14</v>
      </c>
      <c r="R39" s="45">
        <v>14</v>
      </c>
      <c r="S39" s="46">
        <v>4.9119999999999999</v>
      </c>
      <c r="T39" s="47">
        <v>0.35085714285714287</v>
      </c>
      <c r="U39" s="46">
        <v>7.51</v>
      </c>
      <c r="V39" s="47">
        <v>0.53642857142857137</v>
      </c>
      <c r="W39" s="46">
        <v>7.59</v>
      </c>
      <c r="X39" s="47">
        <v>0.54214285714285715</v>
      </c>
      <c r="Y39" s="46">
        <v>8.75</v>
      </c>
      <c r="Z39" s="47">
        <v>0.625</v>
      </c>
      <c r="AA39" s="46">
        <v>11.016999999999999</v>
      </c>
      <c r="AB39" s="47">
        <v>0.78692857142857142</v>
      </c>
      <c r="AC39" s="46">
        <v>14</v>
      </c>
      <c r="AD39" s="47">
        <v>1</v>
      </c>
      <c r="AE39" s="46">
        <v>14</v>
      </c>
      <c r="AF39" s="47">
        <v>1</v>
      </c>
      <c r="AG39" s="46">
        <v>13.923999999999999</v>
      </c>
      <c r="AH39" s="47">
        <v>0.99457142857142855</v>
      </c>
      <c r="AI39" s="46">
        <v>13.867000000000001</v>
      </c>
      <c r="AJ39" s="47">
        <v>0.99050000000000005</v>
      </c>
      <c r="AK39" s="46">
        <v>13.867000000000001</v>
      </c>
      <c r="AL39" s="47">
        <v>0.99050000000000005</v>
      </c>
      <c r="AM39" s="46">
        <v>13.202</v>
      </c>
      <c r="AN39" s="47">
        <v>0.94299999999999995</v>
      </c>
      <c r="AO39" s="46">
        <v>11.992000000000001</v>
      </c>
      <c r="AP39" s="47">
        <v>0.85657142857142865</v>
      </c>
      <c r="AQ39" s="46">
        <v>10.688000000000001</v>
      </c>
      <c r="AR39" s="47">
        <v>0.76342857142857146</v>
      </c>
      <c r="AS39" s="46">
        <v>8.4832000000000001</v>
      </c>
      <c r="AT39" s="47">
        <v>0.60594285714285712</v>
      </c>
      <c r="AU39" s="46">
        <v>7.2742000000000004</v>
      </c>
      <c r="AV39" s="47">
        <v>0.51958571428571432</v>
      </c>
      <c r="AW39" s="46">
        <v>6.9875999999999996</v>
      </c>
      <c r="AX39" s="47">
        <v>0.49911428571428568</v>
      </c>
      <c r="AY39" s="46">
        <v>6.8659999999999997</v>
      </c>
      <c r="AZ39" s="47">
        <v>0.49042857142857138</v>
      </c>
      <c r="BA39" s="46">
        <v>6.6063000000000001</v>
      </c>
      <c r="BB39" s="47">
        <v>0.47187857142857143</v>
      </c>
      <c r="BC39" s="46">
        <v>6.3615000000000004</v>
      </c>
      <c r="BD39" s="47">
        <v>0.45439285714285715</v>
      </c>
      <c r="BE39" s="46">
        <v>6.2430000000000003</v>
      </c>
      <c r="BF39" s="47">
        <v>0.44592857142857145</v>
      </c>
      <c r="BG39" s="46">
        <v>6.274</v>
      </c>
      <c r="BH39" s="47">
        <v>0.44814285714285712</v>
      </c>
      <c r="BI39" s="46">
        <v>7.1390000000000002</v>
      </c>
      <c r="BJ39" s="47">
        <v>0.5099285714285714</v>
      </c>
      <c r="BK39" s="375" t="s">
        <v>42</v>
      </c>
    </row>
    <row r="40" spans="1:64">
      <c r="A40" s="38" t="s">
        <v>98</v>
      </c>
      <c r="B40" s="38" t="s">
        <v>112</v>
      </c>
      <c r="C40" s="39">
        <v>15</v>
      </c>
      <c r="D40" s="98" t="s">
        <v>113</v>
      </c>
      <c r="E40" s="42">
        <v>2.9249999999999998</v>
      </c>
      <c r="F40" s="42">
        <v>2.9249999999999998</v>
      </c>
      <c r="G40" s="42">
        <v>2.9249999999999998</v>
      </c>
      <c r="H40" s="42">
        <v>2.9249999999999998</v>
      </c>
      <c r="I40" s="42">
        <v>2.9249999999999998</v>
      </c>
      <c r="J40" s="42">
        <v>2.9249999999999998</v>
      </c>
      <c r="K40" s="42">
        <v>2.9249999999999998</v>
      </c>
      <c r="L40" s="43">
        <v>2.9249999999999998</v>
      </c>
      <c r="M40" s="44">
        <v>2.9249999999999998</v>
      </c>
      <c r="N40" s="44">
        <v>2.9249999999999998</v>
      </c>
      <c r="O40" s="45">
        <v>2.9249999999999998</v>
      </c>
      <c r="P40" s="45">
        <v>2.9249999999999998</v>
      </c>
      <c r="Q40" s="45">
        <v>2.9249999999999998</v>
      </c>
      <c r="R40" s="45">
        <v>2.9249999999999998</v>
      </c>
      <c r="S40" s="46">
        <v>1.381</v>
      </c>
      <c r="T40" s="47">
        <v>0.47213675213675216</v>
      </c>
      <c r="U40" s="46">
        <v>1.52</v>
      </c>
      <c r="V40" s="47">
        <v>0.5196581196581197</v>
      </c>
      <c r="W40" s="46">
        <v>1.52</v>
      </c>
      <c r="X40" s="47">
        <v>0.5196581196581197</v>
      </c>
      <c r="Y40" s="46">
        <v>1.538</v>
      </c>
      <c r="Z40" s="47">
        <v>0.52581196581196588</v>
      </c>
      <c r="AA40" s="46">
        <v>1.679</v>
      </c>
      <c r="AB40" s="47">
        <v>0.57401709401709411</v>
      </c>
      <c r="AC40" s="46">
        <v>1.8340000000000001</v>
      </c>
      <c r="AD40" s="47">
        <v>0.62700854700854702</v>
      </c>
      <c r="AE40" s="46">
        <v>1.9970000000000001</v>
      </c>
      <c r="AF40" s="47">
        <v>0.68273504273504282</v>
      </c>
      <c r="AG40" s="46">
        <v>2.206</v>
      </c>
      <c r="AH40" s="47">
        <v>0.75418803418803426</v>
      </c>
      <c r="AI40" s="46">
        <v>2.266</v>
      </c>
      <c r="AJ40" s="47">
        <v>0.7747008547008547</v>
      </c>
      <c r="AK40" s="46">
        <v>2.2545000000000002</v>
      </c>
      <c r="AL40" s="47">
        <v>0.77076923076923087</v>
      </c>
      <c r="AM40" s="46">
        <v>2.1637</v>
      </c>
      <c r="AN40" s="47">
        <v>0.73972649572649574</v>
      </c>
      <c r="AO40" s="46">
        <v>2.0529999999999999</v>
      </c>
      <c r="AP40" s="47">
        <v>0.70188034188034187</v>
      </c>
      <c r="AQ40" s="46">
        <v>1.9547000000000001</v>
      </c>
      <c r="AR40" s="47">
        <v>0.6682735042735044</v>
      </c>
      <c r="AS40" s="46">
        <v>1.8396999999999999</v>
      </c>
      <c r="AT40" s="47">
        <v>0.62895726495726501</v>
      </c>
      <c r="AU40" s="46">
        <v>1.7479</v>
      </c>
      <c r="AV40" s="47">
        <v>0.59757264957264966</v>
      </c>
      <c r="AW40" s="46">
        <v>1.6760999999999999</v>
      </c>
      <c r="AX40" s="47">
        <v>0.57302564102564102</v>
      </c>
      <c r="AY40" s="46">
        <v>1.61</v>
      </c>
      <c r="AZ40" s="47">
        <v>0.55042735042735047</v>
      </c>
      <c r="BA40" s="46">
        <v>1.5146999999999999</v>
      </c>
      <c r="BB40" s="47">
        <v>0.51784615384615384</v>
      </c>
      <c r="BC40" s="46">
        <v>1.4480999999999999</v>
      </c>
      <c r="BD40" s="47">
        <v>0.49507692307692308</v>
      </c>
      <c r="BE40" s="46">
        <v>1.379</v>
      </c>
      <c r="BF40" s="47">
        <v>0.47145299145299147</v>
      </c>
      <c r="BG40" s="46">
        <v>1.306</v>
      </c>
      <c r="BH40" s="47">
        <v>0.44649572649572655</v>
      </c>
      <c r="BI40" s="46">
        <v>1.3180000000000001</v>
      </c>
      <c r="BJ40" s="47">
        <v>0.45059829059829065</v>
      </c>
      <c r="BK40" s="375" t="s">
        <v>42</v>
      </c>
    </row>
    <row r="41" spans="1:64">
      <c r="A41" s="38" t="s">
        <v>98</v>
      </c>
      <c r="B41" s="38" t="s">
        <v>114</v>
      </c>
      <c r="C41" s="39">
        <v>46</v>
      </c>
      <c r="D41" s="98" t="s">
        <v>115</v>
      </c>
      <c r="E41" s="42">
        <v>1.75</v>
      </c>
      <c r="F41" s="42">
        <v>1.75</v>
      </c>
      <c r="G41" s="42">
        <v>1.75</v>
      </c>
      <c r="H41" s="42">
        <v>1.75</v>
      </c>
      <c r="I41" s="42">
        <v>1.75</v>
      </c>
      <c r="J41" s="42">
        <v>1.75</v>
      </c>
      <c r="K41" s="42">
        <v>1.75</v>
      </c>
      <c r="L41" s="43">
        <v>1.75</v>
      </c>
      <c r="M41" s="44">
        <v>1.75</v>
      </c>
      <c r="N41" s="44">
        <v>1.67</v>
      </c>
      <c r="O41" s="45">
        <v>1.67</v>
      </c>
      <c r="P41" s="45">
        <v>1.67</v>
      </c>
      <c r="Q41" s="45">
        <v>1.67</v>
      </c>
      <c r="R41" s="45">
        <v>1.67</v>
      </c>
      <c r="S41" s="46">
        <v>0.20399999999999999</v>
      </c>
      <c r="T41" s="47">
        <v>0.12215568862275449</v>
      </c>
      <c r="U41" s="46">
        <v>0.88</v>
      </c>
      <c r="V41" s="47">
        <v>0.52694610778443118</v>
      </c>
      <c r="W41" s="46">
        <v>0.89</v>
      </c>
      <c r="X41" s="47">
        <v>0.53293413173652693</v>
      </c>
      <c r="Y41" s="46">
        <v>1.0900000000000001</v>
      </c>
      <c r="Z41" s="47">
        <v>0.65269461077844315</v>
      </c>
      <c r="AA41" s="46">
        <v>1.1970000000000001</v>
      </c>
      <c r="AB41" s="47">
        <v>0.71676646706586833</v>
      </c>
      <c r="AC41" s="46">
        <v>1.2450000000000001</v>
      </c>
      <c r="AD41" s="47">
        <v>0.74550898203592819</v>
      </c>
      <c r="AE41" s="46">
        <v>1.2949999999999999</v>
      </c>
      <c r="AF41" s="47">
        <v>0.77544910179640714</v>
      </c>
      <c r="AG41" s="46">
        <v>1.2926</v>
      </c>
      <c r="AH41" s="47">
        <v>0.77401197604790417</v>
      </c>
      <c r="AI41" s="46">
        <v>1.2783</v>
      </c>
      <c r="AJ41" s="47">
        <v>0.76544910179640724</v>
      </c>
      <c r="AK41" s="46">
        <v>1.2479</v>
      </c>
      <c r="AL41" s="47">
        <v>0.74724550898203601</v>
      </c>
      <c r="AM41" s="46">
        <v>1.2117</v>
      </c>
      <c r="AN41" s="47">
        <v>0.72556886227544914</v>
      </c>
      <c r="AO41" s="46">
        <v>1.0669999999999999</v>
      </c>
      <c r="AP41" s="47">
        <v>0.63892215568862276</v>
      </c>
      <c r="AQ41" s="46">
        <v>0.93622000000000005</v>
      </c>
      <c r="AR41" s="47">
        <v>0.5606107784431138</v>
      </c>
      <c r="AS41" s="46">
        <v>0.75939000000000001</v>
      </c>
      <c r="AT41" s="47">
        <v>0.45472455089820363</v>
      </c>
      <c r="AU41" s="46">
        <v>0.58675999999999995</v>
      </c>
      <c r="AV41" s="47">
        <v>0.35135329341317362</v>
      </c>
      <c r="AW41" s="46">
        <v>0.50941000000000003</v>
      </c>
      <c r="AX41" s="47">
        <v>0.30503592814371261</v>
      </c>
      <c r="AY41" s="46">
        <v>0.49059000000000003</v>
      </c>
      <c r="AZ41" s="47">
        <v>0.29376646706586829</v>
      </c>
      <c r="BA41" s="46">
        <v>0.45221</v>
      </c>
      <c r="BB41" s="47">
        <v>0.27078443113772455</v>
      </c>
      <c r="BC41" s="46">
        <v>0.41550999999999999</v>
      </c>
      <c r="BD41" s="47">
        <v>0.24880838323353294</v>
      </c>
      <c r="BE41" s="46">
        <v>0.40600000000000003</v>
      </c>
      <c r="BF41" s="47">
        <v>0.24311377245508986</v>
      </c>
      <c r="BG41" s="46">
        <v>0.43099999999999999</v>
      </c>
      <c r="BH41" s="47">
        <v>0.25808383233532933</v>
      </c>
      <c r="BI41" s="46">
        <v>1.248</v>
      </c>
      <c r="BJ41" s="47">
        <v>0.74730538922155687</v>
      </c>
      <c r="BK41" s="375" t="s">
        <v>42</v>
      </c>
    </row>
    <row r="42" spans="1:64" ht="11.25" customHeight="1">
      <c r="A42" s="38" t="s">
        <v>98</v>
      </c>
      <c r="B42" s="38" t="s">
        <v>116</v>
      </c>
      <c r="C42" s="39" t="s">
        <v>117</v>
      </c>
      <c r="D42" s="98" t="s">
        <v>118</v>
      </c>
      <c r="E42" s="42"/>
      <c r="F42" s="42"/>
      <c r="G42" s="42"/>
      <c r="H42" s="42"/>
      <c r="I42" s="42"/>
      <c r="J42" s="42"/>
      <c r="K42" s="42"/>
      <c r="L42" s="43"/>
      <c r="M42" s="44"/>
      <c r="N42" s="44"/>
      <c r="O42" s="45"/>
      <c r="P42" s="45"/>
      <c r="Q42" s="45">
        <v>4.95</v>
      </c>
      <c r="R42" s="45">
        <v>4.95</v>
      </c>
      <c r="S42" s="46">
        <v>1.274</v>
      </c>
      <c r="T42" s="47">
        <v>0.25737373737373737</v>
      </c>
      <c r="U42" s="46">
        <v>1.8</v>
      </c>
      <c r="V42" s="47">
        <v>0.36363636363636365</v>
      </c>
      <c r="W42" s="46">
        <v>2.38</v>
      </c>
      <c r="X42" s="47">
        <v>0.4808080808080808</v>
      </c>
      <c r="Y42" s="46">
        <v>2.8180000000000001</v>
      </c>
      <c r="Z42" s="47">
        <v>0.5692929292929293</v>
      </c>
      <c r="AA42" s="46">
        <v>3.8690000000000002</v>
      </c>
      <c r="AB42" s="47">
        <v>0.78161616161616165</v>
      </c>
      <c r="AC42" s="46">
        <v>4.9029999999999996</v>
      </c>
      <c r="AD42" s="47">
        <v>0.99050505050505033</v>
      </c>
      <c r="AE42" s="46">
        <v>4.95</v>
      </c>
      <c r="AF42" s="47">
        <v>1</v>
      </c>
      <c r="AG42" s="46">
        <v>4.9393000000000002</v>
      </c>
      <c r="AH42" s="47">
        <v>0.99783838383838386</v>
      </c>
      <c r="AI42" s="46">
        <v>4.8670999999999998</v>
      </c>
      <c r="AJ42" s="47">
        <v>0.98325252525252516</v>
      </c>
      <c r="AK42" s="46">
        <v>4.7305999999999999</v>
      </c>
      <c r="AL42" s="47">
        <v>0.95567676767676768</v>
      </c>
      <c r="AM42" s="46">
        <v>4.5776000000000003</v>
      </c>
      <c r="AN42" s="47">
        <v>0.92476767676767679</v>
      </c>
      <c r="AO42" s="46">
        <v>4.6390000000000002</v>
      </c>
      <c r="AP42" s="47">
        <v>0.93717171717171721</v>
      </c>
      <c r="AQ42" s="46">
        <v>4.2271000000000001</v>
      </c>
      <c r="AR42" s="47">
        <v>0.85395959595959592</v>
      </c>
      <c r="AS42" s="46">
        <v>4.0019999999999998</v>
      </c>
      <c r="AT42" s="47">
        <v>0.80848484848484836</v>
      </c>
      <c r="AU42" s="46">
        <v>3.6604999999999999</v>
      </c>
      <c r="AV42" s="47">
        <v>0.73949494949494943</v>
      </c>
      <c r="AW42" s="46">
        <v>3.4994999999999998</v>
      </c>
      <c r="AX42" s="47">
        <v>0.70696969696969691</v>
      </c>
      <c r="AY42" s="46">
        <v>3.2610999999999999</v>
      </c>
      <c r="AZ42" s="47">
        <v>0.65880808080808073</v>
      </c>
      <c r="BA42" s="46">
        <v>2.6291000000000002</v>
      </c>
      <c r="BB42" s="47">
        <v>0.53113131313131312</v>
      </c>
      <c r="BC42" s="46">
        <v>2.1894999999999998</v>
      </c>
      <c r="BD42" s="47">
        <v>0.44232323232323228</v>
      </c>
      <c r="BE42" s="46">
        <v>1.958</v>
      </c>
      <c r="BF42" s="47">
        <v>0.39555555555555555</v>
      </c>
      <c r="BG42" s="46">
        <v>1.9330000000000001</v>
      </c>
      <c r="BH42" s="47">
        <v>0.39050505050505052</v>
      </c>
      <c r="BI42" s="46">
        <v>2.74</v>
      </c>
      <c r="BJ42" s="47">
        <v>0.55353535353535355</v>
      </c>
      <c r="BK42" s="375" t="s">
        <v>42</v>
      </c>
    </row>
    <row r="43" spans="1:64" s="73" customFormat="1" ht="13.5" customHeight="1" thickBot="1">
      <c r="A43" s="414" t="s">
        <v>119</v>
      </c>
      <c r="B43" s="414"/>
      <c r="C43" s="373"/>
      <c r="D43" s="123"/>
      <c r="E43" s="65">
        <v>64.094999999999999</v>
      </c>
      <c r="F43" s="65">
        <v>64.094999999999999</v>
      </c>
      <c r="G43" s="65">
        <v>64.094999999999999</v>
      </c>
      <c r="H43" s="65">
        <v>64.094999999999999</v>
      </c>
      <c r="I43" s="65">
        <v>64.094999999999999</v>
      </c>
      <c r="J43" s="65">
        <v>64.094999999999999</v>
      </c>
      <c r="K43" s="65">
        <v>64.594999999999999</v>
      </c>
      <c r="L43" s="66">
        <v>64.594999999999999</v>
      </c>
      <c r="M43" s="131">
        <v>64.594999999999999</v>
      </c>
      <c r="N43" s="131">
        <v>64.515000000000001</v>
      </c>
      <c r="O43" s="132">
        <v>64.515000000000001</v>
      </c>
      <c r="P43" s="132">
        <v>64.515000000000001</v>
      </c>
      <c r="Q43" s="132">
        <v>69.465000000000003</v>
      </c>
      <c r="R43" s="132">
        <v>69.465000000000003</v>
      </c>
      <c r="S43" s="69">
        <v>21.893000000000001</v>
      </c>
      <c r="T43" s="70">
        <v>0.31516591089037643</v>
      </c>
      <c r="U43" s="69">
        <v>37.270000000000003</v>
      </c>
      <c r="V43" s="70">
        <v>0.53652918736054134</v>
      </c>
      <c r="W43" s="69">
        <v>40.77000000000001</v>
      </c>
      <c r="X43" s="70">
        <v>0.58691427337508106</v>
      </c>
      <c r="Y43" s="69">
        <v>45.884</v>
      </c>
      <c r="Z43" s="70">
        <v>0.66053408191175411</v>
      </c>
      <c r="AA43" s="69">
        <v>55.067999999999998</v>
      </c>
      <c r="AB43" s="70">
        <v>0.79274454761390623</v>
      </c>
      <c r="AC43" s="69">
        <v>66.491</v>
      </c>
      <c r="AD43" s="70">
        <v>0.95718707262650249</v>
      </c>
      <c r="AE43" s="69">
        <v>67.367000000000004</v>
      </c>
      <c r="AF43" s="70">
        <v>0.96979773986899875</v>
      </c>
      <c r="AG43" s="69">
        <v>67.618000000000009</v>
      </c>
      <c r="AH43" s="70">
        <v>0.97341107032318441</v>
      </c>
      <c r="AI43" s="69">
        <v>67.475400000000008</v>
      </c>
      <c r="AJ43" s="70">
        <v>0.9713582379615634</v>
      </c>
      <c r="AK43" s="69">
        <v>66.696300000000008</v>
      </c>
      <c r="AL43" s="70">
        <v>0.96014251781472693</v>
      </c>
      <c r="AM43" s="69">
        <v>63.554199999999994</v>
      </c>
      <c r="AN43" s="70">
        <v>0.91490966673864527</v>
      </c>
      <c r="AO43" s="69">
        <v>57.833799999999997</v>
      </c>
      <c r="AP43" s="70">
        <v>0.83256028215648159</v>
      </c>
      <c r="AQ43" s="69">
        <v>51.698920000000001</v>
      </c>
      <c r="AR43" s="70">
        <v>0.7442441517310876</v>
      </c>
      <c r="AS43" s="69">
        <v>43.965920000000004</v>
      </c>
      <c r="AT43" s="70">
        <v>0.63292190311667751</v>
      </c>
      <c r="AU43" s="69">
        <v>39.59375</v>
      </c>
      <c r="AV43" s="70">
        <v>0.56998128553948024</v>
      </c>
      <c r="AW43" s="69">
        <v>37.701830000000001</v>
      </c>
      <c r="AX43" s="70">
        <v>0.54274569927301519</v>
      </c>
      <c r="AY43" s="69">
        <v>36.601100000000002</v>
      </c>
      <c r="AZ43" s="70">
        <v>0.5268998776362197</v>
      </c>
      <c r="BA43" s="69">
        <v>34.359530000000007</v>
      </c>
      <c r="BB43" s="70">
        <v>0.49463082127690211</v>
      </c>
      <c r="BC43" s="69">
        <v>32.430700000000002</v>
      </c>
      <c r="BD43" s="70">
        <v>0.46686388828906644</v>
      </c>
      <c r="BE43" s="69">
        <v>30.467000000000002</v>
      </c>
      <c r="BF43" s="70">
        <v>0.43859497588713742</v>
      </c>
      <c r="BG43" s="69">
        <v>30.331000000000003</v>
      </c>
      <c r="BH43" s="70">
        <v>0.43663715540200104</v>
      </c>
      <c r="BI43" s="69">
        <v>39.416999999999994</v>
      </c>
      <c r="BJ43" s="70">
        <v>0.5674368386957459</v>
      </c>
      <c r="BK43" s="71"/>
      <c r="BL43" s="72"/>
    </row>
    <row r="44" spans="1:64" ht="6" customHeight="1" thickBot="1">
      <c r="A44" s="102"/>
      <c r="B44" s="102"/>
      <c r="C44" s="103"/>
      <c r="D44" s="104"/>
      <c r="E44" s="96"/>
      <c r="F44" s="96"/>
      <c r="G44" s="96"/>
      <c r="H44" s="96"/>
      <c r="I44" s="96"/>
      <c r="J44" s="96"/>
      <c r="K44" s="96"/>
      <c r="L44" s="105"/>
      <c r="M44" s="128"/>
      <c r="N44" s="128"/>
      <c r="O44" s="129"/>
      <c r="P44" s="129"/>
      <c r="Q44" s="129"/>
      <c r="R44" s="129"/>
      <c r="S44" s="80"/>
      <c r="T44" s="81"/>
      <c r="U44" s="80"/>
      <c r="V44" s="81"/>
      <c r="W44" s="80"/>
      <c r="X44" s="81"/>
      <c r="Y44" s="80"/>
      <c r="Z44" s="81"/>
      <c r="AA44" s="80"/>
      <c r="AB44" s="81"/>
      <c r="AC44" s="80"/>
      <c r="AD44" s="81"/>
      <c r="AE44" s="80"/>
      <c r="AF44" s="81"/>
      <c r="AG44" s="80"/>
      <c r="AH44" s="81"/>
      <c r="AI44" s="80"/>
      <c r="AJ44" s="81"/>
      <c r="AK44" s="80"/>
      <c r="AL44" s="81"/>
      <c r="AM44" s="80"/>
      <c r="AN44" s="81"/>
      <c r="AO44" s="80"/>
      <c r="AP44" s="81"/>
      <c r="AQ44" s="80"/>
      <c r="AR44" s="81"/>
      <c r="AS44" s="80"/>
      <c r="AT44" s="81"/>
      <c r="AU44" s="80"/>
      <c r="AV44" s="81"/>
      <c r="AW44" s="80"/>
      <c r="AX44" s="81"/>
      <c r="AY44" s="80"/>
      <c r="AZ44" s="81"/>
      <c r="BA44" s="80"/>
      <c r="BB44" s="81"/>
      <c r="BC44" s="80"/>
      <c r="BD44" s="81"/>
      <c r="BE44" s="80"/>
      <c r="BF44" s="81"/>
      <c r="BG44" s="80"/>
      <c r="BH44" s="81"/>
      <c r="BI44" s="80"/>
      <c r="BJ44" s="81"/>
      <c r="BK44" s="82"/>
    </row>
    <row r="45" spans="1:64" s="73" customFormat="1" ht="13.5" thickBot="1">
      <c r="A45" s="97" t="s">
        <v>120</v>
      </c>
      <c r="B45" s="38" t="s">
        <v>121</v>
      </c>
      <c r="C45" s="39">
        <v>3</v>
      </c>
      <c r="D45" s="98" t="s">
        <v>122</v>
      </c>
      <c r="E45" s="65">
        <v>8.1999999999999993</v>
      </c>
      <c r="F45" s="65">
        <v>8.1999999999999993</v>
      </c>
      <c r="G45" s="65">
        <v>8.1999999999999993</v>
      </c>
      <c r="H45" s="65">
        <v>8.1999999999999993</v>
      </c>
      <c r="I45" s="65">
        <v>8.1999999999999993</v>
      </c>
      <c r="J45" s="65">
        <v>8.1999999999999993</v>
      </c>
      <c r="K45" s="87">
        <v>8.1999999999999993</v>
      </c>
      <c r="L45" s="88">
        <v>8.1999999999999993</v>
      </c>
      <c r="M45" s="133">
        <v>8.1999999999999993</v>
      </c>
      <c r="N45" s="133">
        <v>8.1999999999999993</v>
      </c>
      <c r="O45" s="134">
        <v>8.1999999999999993</v>
      </c>
      <c r="P45" s="134">
        <v>8.1999999999999993</v>
      </c>
      <c r="Q45" s="134">
        <v>8.1999999999999993</v>
      </c>
      <c r="R45" s="134">
        <v>8.1999999999999993</v>
      </c>
      <c r="S45" s="135">
        <v>4.9000000000000004</v>
      </c>
      <c r="T45" s="92">
        <v>0.59756097560975618</v>
      </c>
      <c r="U45" s="136"/>
      <c r="V45" s="137">
        <v>0</v>
      </c>
      <c r="W45" s="136"/>
      <c r="X45" s="137">
        <v>0</v>
      </c>
      <c r="Y45" s="114">
        <v>8.1999999999999993</v>
      </c>
      <c r="Z45" s="92">
        <v>1</v>
      </c>
      <c r="AA45" s="135">
        <v>8.1999999999999993</v>
      </c>
      <c r="AB45" s="92">
        <v>1</v>
      </c>
      <c r="AC45" s="135">
        <v>8.1999999999999993</v>
      </c>
      <c r="AD45" s="92">
        <v>1</v>
      </c>
      <c r="AE45" s="135">
        <v>8.1999999999999993</v>
      </c>
      <c r="AF45" s="92">
        <v>1</v>
      </c>
      <c r="AG45" s="135">
        <v>8.1999999999999993</v>
      </c>
      <c r="AH45" s="92">
        <v>1</v>
      </c>
      <c r="AI45" s="135">
        <v>8.1999999999999993</v>
      </c>
      <c r="AJ45" s="92">
        <v>1</v>
      </c>
      <c r="AK45" s="135">
        <v>8</v>
      </c>
      <c r="AL45" s="92">
        <v>0.97560975609756106</v>
      </c>
      <c r="AM45" s="135">
        <v>8</v>
      </c>
      <c r="AN45" s="92">
        <v>0.97560975609756106</v>
      </c>
      <c r="AO45" s="135">
        <v>7.81</v>
      </c>
      <c r="AP45" s="92">
        <v>0.95243902439024397</v>
      </c>
      <c r="AQ45" s="135">
        <v>7.52</v>
      </c>
      <c r="AR45" s="92">
        <v>0.91707317073170735</v>
      </c>
      <c r="AS45" s="135">
        <v>7</v>
      </c>
      <c r="AT45" s="92">
        <v>0.85365853658536595</v>
      </c>
      <c r="AU45" s="135">
        <v>6.63</v>
      </c>
      <c r="AV45" s="92">
        <v>0.80853658536585371</v>
      </c>
      <c r="AW45" s="135">
        <v>6.26</v>
      </c>
      <c r="AX45" s="92">
        <v>0.76341463414634148</v>
      </c>
      <c r="AY45" s="135">
        <v>6.2</v>
      </c>
      <c r="AZ45" s="92">
        <v>0.75609756097560987</v>
      </c>
      <c r="BA45" s="135">
        <v>6.15</v>
      </c>
      <c r="BB45" s="92">
        <v>0.75000000000000011</v>
      </c>
      <c r="BC45" s="135">
        <v>5.85</v>
      </c>
      <c r="BD45" s="92">
        <v>0.71341463414634143</v>
      </c>
      <c r="BE45" s="135">
        <v>5.7</v>
      </c>
      <c r="BF45" s="92">
        <v>0.69512195121951226</v>
      </c>
      <c r="BG45" s="114">
        <v>6.42</v>
      </c>
      <c r="BH45" s="92">
        <v>0.78292682926829271</v>
      </c>
      <c r="BI45" s="135">
        <v>8.0399999999999991</v>
      </c>
      <c r="BJ45" s="92">
        <v>0.98048780487804876</v>
      </c>
      <c r="BK45" s="138" t="s">
        <v>123</v>
      </c>
      <c r="BL45" s="12"/>
    </row>
    <row r="46" spans="1:64" ht="5.25" customHeight="1">
      <c r="A46" s="102"/>
      <c r="B46" s="102"/>
      <c r="C46" s="103"/>
      <c r="D46" s="104"/>
      <c r="E46" s="96"/>
      <c r="F46" s="96"/>
      <c r="G46" s="96"/>
      <c r="H46" s="96"/>
      <c r="I46" s="96"/>
      <c r="J46" s="96"/>
      <c r="K46" s="96"/>
      <c r="L46" s="105"/>
      <c r="M46" s="128"/>
      <c r="N46" s="128"/>
      <c r="O46" s="129"/>
      <c r="P46" s="129"/>
      <c r="Q46" s="129"/>
      <c r="R46" s="129"/>
      <c r="S46" s="80"/>
      <c r="T46" s="81"/>
      <c r="U46" s="80"/>
      <c r="V46" s="81"/>
      <c r="W46" s="80"/>
      <c r="X46" s="81"/>
      <c r="Y46" s="80"/>
      <c r="Z46" s="81"/>
      <c r="AA46" s="80"/>
      <c r="AB46" s="81"/>
      <c r="AC46" s="80"/>
      <c r="AD46" s="81"/>
      <c r="AE46" s="80"/>
      <c r="AF46" s="81"/>
      <c r="AG46" s="80"/>
      <c r="AH46" s="81"/>
      <c r="AI46" s="80"/>
      <c r="AJ46" s="81"/>
      <c r="AK46" s="80"/>
      <c r="AL46" s="81"/>
      <c r="AM46" s="80"/>
      <c r="AN46" s="81"/>
      <c r="AO46" s="80"/>
      <c r="AP46" s="81"/>
      <c r="AQ46" s="80"/>
      <c r="AR46" s="81"/>
      <c r="AS46" s="80"/>
      <c r="AT46" s="81"/>
      <c r="AU46" s="80"/>
      <c r="AV46" s="81"/>
      <c r="AW46" s="80"/>
      <c r="AX46" s="81"/>
      <c r="AY46" s="80"/>
      <c r="AZ46" s="81"/>
      <c r="BA46" s="80"/>
      <c r="BB46" s="81"/>
      <c r="BC46" s="80"/>
      <c r="BD46" s="81"/>
      <c r="BE46" s="80"/>
      <c r="BF46" s="81"/>
      <c r="BG46" s="80"/>
      <c r="BH46" s="81"/>
      <c r="BI46" s="80"/>
      <c r="BJ46" s="81"/>
      <c r="BK46" s="82"/>
    </row>
    <row r="47" spans="1:64">
      <c r="A47" s="38" t="s">
        <v>124</v>
      </c>
      <c r="B47" s="38" t="s">
        <v>125</v>
      </c>
      <c r="C47" s="39">
        <v>10</v>
      </c>
      <c r="D47" s="98" t="s">
        <v>126</v>
      </c>
      <c r="E47" s="42">
        <v>11</v>
      </c>
      <c r="F47" s="42">
        <v>11</v>
      </c>
      <c r="G47" s="42">
        <v>11</v>
      </c>
      <c r="H47" s="42">
        <v>11</v>
      </c>
      <c r="I47" s="42">
        <v>11</v>
      </c>
      <c r="J47" s="42">
        <v>11</v>
      </c>
      <c r="K47" s="42">
        <v>10.9</v>
      </c>
      <c r="L47" s="43">
        <v>10.9</v>
      </c>
      <c r="M47" s="44">
        <v>10.9</v>
      </c>
      <c r="N47" s="44">
        <v>10.9</v>
      </c>
      <c r="O47" s="45">
        <v>10.9</v>
      </c>
      <c r="P47" s="45">
        <v>10.9</v>
      </c>
      <c r="Q47" s="139">
        <v>10.9</v>
      </c>
      <c r="R47" s="139">
        <v>10.9</v>
      </c>
      <c r="S47" s="46">
        <v>3.8330000000000002</v>
      </c>
      <c r="T47" s="47">
        <v>0.35165137614678899</v>
      </c>
      <c r="U47" s="46">
        <v>4.3099999999999996</v>
      </c>
      <c r="V47" s="47">
        <v>0.39541284403669719</v>
      </c>
      <c r="W47" s="46">
        <v>4.43</v>
      </c>
      <c r="X47" s="47">
        <v>0.40642201834862379</v>
      </c>
      <c r="Y47" s="46">
        <v>5.8936169999999999</v>
      </c>
      <c r="Z47" s="47">
        <v>0.54069880733944953</v>
      </c>
      <c r="AA47" s="46">
        <v>6.0265959999999996</v>
      </c>
      <c r="AB47" s="47">
        <v>0.55289871559633019</v>
      </c>
      <c r="AC47" s="46">
        <v>7.3250000000000002</v>
      </c>
      <c r="AD47" s="47">
        <v>0.67201834862385323</v>
      </c>
      <c r="AE47" s="46">
        <v>7.8650000000000002</v>
      </c>
      <c r="AF47" s="47">
        <v>0.72155963302752291</v>
      </c>
      <c r="AG47" s="46">
        <v>7.9024999999999999</v>
      </c>
      <c r="AH47" s="47">
        <v>0.72499999999999998</v>
      </c>
      <c r="AI47" s="46">
        <v>7.94</v>
      </c>
      <c r="AJ47" s="47">
        <v>0.72844036697247705</v>
      </c>
      <c r="AK47" s="46">
        <v>8.0522650000000002</v>
      </c>
      <c r="AL47" s="47">
        <v>0.73873990825688074</v>
      </c>
      <c r="AM47" s="46">
        <v>7.9249999999999998</v>
      </c>
      <c r="AN47" s="47">
        <v>0.72706422018348615</v>
      </c>
      <c r="AO47" s="46">
        <v>7.8724999999999996</v>
      </c>
      <c r="AP47" s="47">
        <v>0.7222477064220183</v>
      </c>
      <c r="AQ47" s="46">
        <v>7.7450000000000001</v>
      </c>
      <c r="AR47" s="47">
        <v>0.7105504587155963</v>
      </c>
      <c r="AS47" s="46">
        <v>7.52</v>
      </c>
      <c r="AT47" s="47">
        <v>0.68990825688073387</v>
      </c>
      <c r="AU47" s="46">
        <v>6.89</v>
      </c>
      <c r="AV47" s="47">
        <v>0.63211009174311916</v>
      </c>
      <c r="AW47" s="46">
        <v>6.7850000000000001</v>
      </c>
      <c r="AX47" s="47">
        <v>0.62247706422018345</v>
      </c>
      <c r="AY47" s="46">
        <v>6.7549999999999999</v>
      </c>
      <c r="AZ47" s="47">
        <v>0.61972477064220177</v>
      </c>
      <c r="BA47" s="46">
        <v>6.3776590000000004</v>
      </c>
      <c r="BB47" s="47">
        <v>0.5851063302752294</v>
      </c>
      <c r="BC47" s="46">
        <v>6.1702130000000004</v>
      </c>
      <c r="BD47" s="47">
        <v>0.56607458715596337</v>
      </c>
      <c r="BE47" s="46">
        <v>5.9734040000000004</v>
      </c>
      <c r="BF47" s="47">
        <v>0.54801871559633031</v>
      </c>
      <c r="BG47" s="46">
        <v>5.9361699999999997</v>
      </c>
      <c r="BH47" s="47">
        <v>0.54460275229357791</v>
      </c>
      <c r="BI47" s="46">
        <v>6.3723400000000003</v>
      </c>
      <c r="BJ47" s="47">
        <v>0.5846183486238532</v>
      </c>
      <c r="BK47" s="375" t="s">
        <v>127</v>
      </c>
      <c r="BL47" s="140" t="s">
        <v>128</v>
      </c>
    </row>
    <row r="48" spans="1:64">
      <c r="A48" s="38" t="s">
        <v>124</v>
      </c>
      <c r="B48" s="38" t="s">
        <v>129</v>
      </c>
      <c r="C48" s="39">
        <v>8</v>
      </c>
      <c r="D48" s="98" t="s">
        <v>130</v>
      </c>
      <c r="E48" s="42">
        <v>18.8</v>
      </c>
      <c r="F48" s="42">
        <v>18.8</v>
      </c>
      <c r="G48" s="42">
        <v>18.8</v>
      </c>
      <c r="H48" s="42">
        <v>18.8</v>
      </c>
      <c r="I48" s="42">
        <v>18.8</v>
      </c>
      <c r="J48" s="42">
        <v>18.8</v>
      </c>
      <c r="K48" s="42">
        <v>18.8</v>
      </c>
      <c r="L48" s="43">
        <v>18.8</v>
      </c>
      <c r="M48" s="44">
        <v>18.8</v>
      </c>
      <c r="N48" s="44">
        <v>18.8</v>
      </c>
      <c r="O48" s="45">
        <v>18.8</v>
      </c>
      <c r="P48" s="45">
        <v>18.8</v>
      </c>
      <c r="Q48" s="45">
        <v>18.8</v>
      </c>
      <c r="R48" s="45">
        <v>18.8</v>
      </c>
      <c r="S48" s="46">
        <v>7.3140000000000001</v>
      </c>
      <c r="T48" s="47">
        <v>0.38904255319148934</v>
      </c>
      <c r="U48" s="46">
        <v>7.44</v>
      </c>
      <c r="V48" s="47">
        <v>0.39574468085106385</v>
      </c>
      <c r="W48" s="46">
        <v>7.93</v>
      </c>
      <c r="X48" s="47">
        <v>0.42180851063829783</v>
      </c>
      <c r="Y48" s="46">
        <v>9.533652</v>
      </c>
      <c r="Z48" s="47">
        <v>0.50710914893617021</v>
      </c>
      <c r="AA48" s="46">
        <v>11.052095</v>
      </c>
      <c r="AB48" s="47">
        <v>0.58787739361702118</v>
      </c>
      <c r="AC48" s="46">
        <v>15.448807</v>
      </c>
      <c r="AD48" s="47">
        <v>0.82174505319148938</v>
      </c>
      <c r="AE48" s="46">
        <v>16.851300999999999</v>
      </c>
      <c r="AF48" s="47">
        <v>0.89634579787234037</v>
      </c>
      <c r="AG48" s="46">
        <v>17.500729</v>
      </c>
      <c r="AH48" s="47">
        <v>0.93088984042553191</v>
      </c>
      <c r="AI48" s="46">
        <v>17.380465000000001</v>
      </c>
      <c r="AJ48" s="47">
        <v>0.92449281914893622</v>
      </c>
      <c r="AK48" s="46">
        <v>17.260200000000001</v>
      </c>
      <c r="AL48" s="47">
        <v>0.91809574468085109</v>
      </c>
      <c r="AM48" s="46">
        <v>16.690597</v>
      </c>
      <c r="AN48" s="47">
        <v>0.88779771276595743</v>
      </c>
      <c r="AO48" s="46">
        <v>15.858176</v>
      </c>
      <c r="AP48" s="47">
        <v>0.84351999999999994</v>
      </c>
      <c r="AQ48" s="46">
        <v>15.266052999999999</v>
      </c>
      <c r="AR48" s="47">
        <v>0.81202409574468082</v>
      </c>
      <c r="AS48" s="46">
        <v>13.825101999999999</v>
      </c>
      <c r="AT48" s="47">
        <v>0.73537776595744675</v>
      </c>
      <c r="AU48" s="46">
        <v>12.940769</v>
      </c>
      <c r="AV48" s="47">
        <v>0.68833877659574461</v>
      </c>
      <c r="AW48" s="46">
        <v>12.555501</v>
      </c>
      <c r="AX48" s="47">
        <v>0.66784579787234033</v>
      </c>
      <c r="AY48" s="46">
        <v>12.015333999999999</v>
      </c>
      <c r="AZ48" s="47">
        <v>0.6391135106382978</v>
      </c>
      <c r="BA48" s="46">
        <v>10.929800999999999</v>
      </c>
      <c r="BB48" s="47">
        <v>0.5813723936170212</v>
      </c>
      <c r="BC48" s="46">
        <v>10.392442000000001</v>
      </c>
      <c r="BD48" s="47">
        <v>0.55278946808510643</v>
      </c>
      <c r="BE48" s="46">
        <v>9.5536379999999994</v>
      </c>
      <c r="BF48" s="47">
        <v>0.50817223404255318</v>
      </c>
      <c r="BG48" s="46">
        <v>9.2780000000000005</v>
      </c>
      <c r="BH48" s="47">
        <v>0.49351063829787234</v>
      </c>
      <c r="BI48" s="46">
        <v>8.634684</v>
      </c>
      <c r="BJ48" s="47">
        <v>0.45929170212765957</v>
      </c>
      <c r="BK48" s="375" t="s">
        <v>131</v>
      </c>
    </row>
    <row r="49" spans="1:64">
      <c r="A49" s="38" t="s">
        <v>124</v>
      </c>
      <c r="B49" s="38" t="s">
        <v>132</v>
      </c>
      <c r="C49" s="39">
        <v>35</v>
      </c>
      <c r="D49" s="98" t="s">
        <v>133</v>
      </c>
      <c r="E49" s="42">
        <v>7.8</v>
      </c>
      <c r="F49" s="42">
        <v>7.8</v>
      </c>
      <c r="G49" s="42">
        <v>7.8</v>
      </c>
      <c r="H49" s="42">
        <v>7.8</v>
      </c>
      <c r="I49" s="42">
        <v>7.8</v>
      </c>
      <c r="J49" s="42">
        <v>7.8</v>
      </c>
      <c r="K49" s="42">
        <v>7.8</v>
      </c>
      <c r="L49" s="43">
        <v>7.8</v>
      </c>
      <c r="M49" s="44">
        <v>7.8</v>
      </c>
      <c r="N49" s="44">
        <v>7.8</v>
      </c>
      <c r="O49" s="45">
        <v>7.8</v>
      </c>
      <c r="P49" s="45">
        <v>7.8</v>
      </c>
      <c r="Q49" s="45">
        <v>7.8</v>
      </c>
      <c r="R49" s="45">
        <v>7.8</v>
      </c>
      <c r="S49" s="46">
        <v>3.63</v>
      </c>
      <c r="T49" s="47">
        <v>0.4653846153846154</v>
      </c>
      <c r="U49" s="46">
        <v>3.25</v>
      </c>
      <c r="V49" s="47">
        <v>0.41666666666666669</v>
      </c>
      <c r="W49" s="46">
        <v>2.87</v>
      </c>
      <c r="X49" s="47">
        <v>0.36794871794871797</v>
      </c>
      <c r="Y49" s="46">
        <v>4.263814</v>
      </c>
      <c r="Z49" s="47">
        <v>0.54664282051282054</v>
      </c>
      <c r="AA49" s="46">
        <v>4.9677629999999997</v>
      </c>
      <c r="AB49" s="47">
        <v>0.6368926923076923</v>
      </c>
      <c r="AC49" s="46">
        <v>6.9479360000000003</v>
      </c>
      <c r="AD49" s="47">
        <v>0.89076102564102566</v>
      </c>
      <c r="AE49" s="46">
        <v>6.7169999999999996</v>
      </c>
      <c r="AF49" s="47">
        <v>0.86115384615384616</v>
      </c>
      <c r="AG49" s="46">
        <v>6.7666639999999996</v>
      </c>
      <c r="AH49" s="47">
        <v>0.86752102564102562</v>
      </c>
      <c r="AI49" s="46">
        <v>6.9542320000000002</v>
      </c>
      <c r="AJ49" s="47">
        <v>0.89156820512820523</v>
      </c>
      <c r="AK49" s="46">
        <v>6.9857570000000004</v>
      </c>
      <c r="AL49" s="47">
        <v>0.89560987179487184</v>
      </c>
      <c r="AM49" s="46">
        <v>6.9102240000000004</v>
      </c>
      <c r="AN49" s="47">
        <v>0.88592615384615392</v>
      </c>
      <c r="AO49" s="46">
        <v>6.8663629999999998</v>
      </c>
      <c r="AP49" s="47">
        <v>0.88030294871794867</v>
      </c>
      <c r="AQ49" s="46">
        <v>6.810187</v>
      </c>
      <c r="AR49" s="47">
        <v>0.87310089743589747</v>
      </c>
      <c r="AS49" s="46">
        <v>6.7171029999999998</v>
      </c>
      <c r="AT49" s="47">
        <v>0.86116705128205129</v>
      </c>
      <c r="AU49" s="46">
        <v>6.3094760000000001</v>
      </c>
      <c r="AV49" s="47">
        <v>0.8089071794871795</v>
      </c>
      <c r="AW49" s="46">
        <v>5.8458759999999996</v>
      </c>
      <c r="AX49" s="47">
        <v>0.749471282051282</v>
      </c>
      <c r="AY49" s="46">
        <v>5.6636550000000003</v>
      </c>
      <c r="AZ49" s="47">
        <v>0.72610961538461549</v>
      </c>
      <c r="BA49" s="46">
        <v>5.3746280000000004</v>
      </c>
      <c r="BB49" s="47">
        <v>0.6890548717948719</v>
      </c>
      <c r="BC49" s="46">
        <v>5.2117829999999996</v>
      </c>
      <c r="BD49" s="47">
        <v>0.66817730769230765</v>
      </c>
      <c r="BE49" s="46">
        <v>4.9520790000000003</v>
      </c>
      <c r="BF49" s="47">
        <v>0.63488192307692315</v>
      </c>
      <c r="BG49" s="46">
        <v>4.8479999999999999</v>
      </c>
      <c r="BH49" s="47">
        <v>0.62153846153846148</v>
      </c>
      <c r="BI49" s="46">
        <v>4.6591870000000002</v>
      </c>
      <c r="BJ49" s="47">
        <v>0.59733166666666671</v>
      </c>
      <c r="BK49" s="375" t="s">
        <v>131</v>
      </c>
    </row>
    <row r="50" spans="1:64">
      <c r="A50" s="38" t="s">
        <v>124</v>
      </c>
      <c r="B50" s="38" t="s">
        <v>134</v>
      </c>
      <c r="C50" s="39">
        <v>6</v>
      </c>
      <c r="D50" s="98" t="s">
        <v>134</v>
      </c>
      <c r="E50" s="42">
        <v>3.4</v>
      </c>
      <c r="F50" s="42">
        <v>3.4</v>
      </c>
      <c r="G50" s="42">
        <v>3.4</v>
      </c>
      <c r="H50" s="42">
        <v>3.4</v>
      </c>
      <c r="I50" s="42">
        <v>3.4</v>
      </c>
      <c r="J50" s="42">
        <v>3.4</v>
      </c>
      <c r="K50" s="42">
        <v>3.4</v>
      </c>
      <c r="L50" s="43">
        <v>3.4</v>
      </c>
      <c r="M50" s="44">
        <v>3.4</v>
      </c>
      <c r="N50" s="44">
        <v>3.4</v>
      </c>
      <c r="O50" s="45">
        <v>3.4</v>
      </c>
      <c r="P50" s="45">
        <v>3.4</v>
      </c>
      <c r="Q50" s="45">
        <v>3.4</v>
      </c>
      <c r="R50" s="45">
        <v>3.4</v>
      </c>
      <c r="S50" s="46">
        <v>0.754</v>
      </c>
      <c r="T50" s="47">
        <v>0.22176470588235295</v>
      </c>
      <c r="U50" s="46">
        <v>1.03</v>
      </c>
      <c r="V50" s="47">
        <v>0.30294117647058827</v>
      </c>
      <c r="W50" s="46">
        <v>1.1100000000000001</v>
      </c>
      <c r="X50" s="47">
        <v>0.32647058823529418</v>
      </c>
      <c r="Y50" s="46">
        <v>1.5045999999999999</v>
      </c>
      <c r="Z50" s="47">
        <v>0.44252941176470589</v>
      </c>
      <c r="AA50" s="46">
        <v>1.9617</v>
      </c>
      <c r="AB50" s="47">
        <v>0.57697058823529412</v>
      </c>
      <c r="AC50" s="46">
        <v>2.4055</v>
      </c>
      <c r="AD50" s="47">
        <v>0.70750000000000002</v>
      </c>
      <c r="AE50" s="46">
        <v>2.46</v>
      </c>
      <c r="AF50" s="47">
        <v>0.72352941176470587</v>
      </c>
      <c r="AG50" s="46">
        <v>2.569</v>
      </c>
      <c r="AH50" s="47">
        <v>0.75558823529411767</v>
      </c>
      <c r="AI50" s="46">
        <v>2.7629999999999999</v>
      </c>
      <c r="AJ50" s="47">
        <v>0.81264705882352939</v>
      </c>
      <c r="AK50" s="46">
        <v>2.7410000000000001</v>
      </c>
      <c r="AL50" s="47">
        <v>0.80617647058823538</v>
      </c>
      <c r="AM50" s="46">
        <v>2.5339999999999998</v>
      </c>
      <c r="AN50" s="47">
        <v>0.74529411764705877</v>
      </c>
      <c r="AO50" s="46">
        <v>2.3380000000000001</v>
      </c>
      <c r="AP50" s="47">
        <v>0.6876470588235295</v>
      </c>
      <c r="AQ50" s="46">
        <v>1.974</v>
      </c>
      <c r="AR50" s="47">
        <v>0.58058823529411763</v>
      </c>
      <c r="AS50" s="46">
        <v>1.794</v>
      </c>
      <c r="AT50" s="47">
        <v>0.52764705882352947</v>
      </c>
      <c r="AU50" s="46">
        <v>1.601</v>
      </c>
      <c r="AV50" s="47">
        <v>0.47088235294117647</v>
      </c>
      <c r="AW50" s="46">
        <v>1.5189999999999999</v>
      </c>
      <c r="AX50" s="47">
        <v>0.44676470588235295</v>
      </c>
      <c r="AY50" s="46">
        <v>1.45</v>
      </c>
      <c r="AZ50" s="47">
        <v>0.4264705882352941</v>
      </c>
      <c r="BA50" s="46">
        <v>1.4395</v>
      </c>
      <c r="BB50" s="47">
        <v>0.42338235294117649</v>
      </c>
      <c r="BC50" s="46">
        <v>1.419</v>
      </c>
      <c r="BD50" s="47">
        <v>0.41735294117647059</v>
      </c>
      <c r="BE50" s="46">
        <v>1.4</v>
      </c>
      <c r="BF50" s="47">
        <v>0.41176470588235292</v>
      </c>
      <c r="BG50" s="46">
        <v>1.4059999999999999</v>
      </c>
      <c r="BH50" s="47">
        <v>0.41352941176470587</v>
      </c>
      <c r="BI50" s="46">
        <v>1.5435000000000001</v>
      </c>
      <c r="BJ50" s="47">
        <v>0.45397058823529418</v>
      </c>
      <c r="BK50" s="375" t="s">
        <v>135</v>
      </c>
      <c r="BL50" s="119"/>
    </row>
    <row r="51" spans="1:64">
      <c r="A51" s="38" t="s">
        <v>124</v>
      </c>
      <c r="B51" s="38" t="s">
        <v>136</v>
      </c>
      <c r="C51" s="39">
        <v>7</v>
      </c>
      <c r="D51" s="98" t="s">
        <v>137</v>
      </c>
      <c r="E51" s="42">
        <v>8.5</v>
      </c>
      <c r="F51" s="42">
        <v>8.5</v>
      </c>
      <c r="G51" s="42">
        <v>8.5</v>
      </c>
      <c r="H51" s="42">
        <v>8.5</v>
      </c>
      <c r="I51" s="42">
        <v>8.5</v>
      </c>
      <c r="J51" s="42">
        <v>8.5</v>
      </c>
      <c r="K51" s="42">
        <v>11.35</v>
      </c>
      <c r="L51" s="43">
        <v>11.35</v>
      </c>
      <c r="M51" s="44">
        <v>11.35</v>
      </c>
      <c r="N51" s="44">
        <v>11.35</v>
      </c>
      <c r="O51" s="45">
        <v>11.35</v>
      </c>
      <c r="P51" s="45">
        <v>11.35</v>
      </c>
      <c r="Q51" s="139">
        <v>11.35</v>
      </c>
      <c r="R51" s="139">
        <v>11.35</v>
      </c>
      <c r="S51" s="46">
        <v>11.108000000000001</v>
      </c>
      <c r="T51" s="47">
        <v>0.97867841409691636</v>
      </c>
      <c r="U51" s="46">
        <v>11.02</v>
      </c>
      <c r="V51" s="47">
        <v>0.97092511013215854</v>
      </c>
      <c r="W51" s="46">
        <v>11.05</v>
      </c>
      <c r="X51" s="47">
        <v>0.97356828193832612</v>
      </c>
      <c r="Y51" s="46">
        <v>11.391999999999999</v>
      </c>
      <c r="Z51" s="47">
        <v>1.0037004405286343</v>
      </c>
      <c r="AA51" s="46">
        <v>11.35</v>
      </c>
      <c r="AB51" s="47">
        <v>1</v>
      </c>
      <c r="AC51" s="46">
        <v>11.381500000000001</v>
      </c>
      <c r="AD51" s="47">
        <v>1.0027753303964759</v>
      </c>
      <c r="AE51" s="46">
        <v>11.381500000000001</v>
      </c>
      <c r="AF51" s="47">
        <v>1.0027753303964759</v>
      </c>
      <c r="AG51" s="46">
        <v>11.339929</v>
      </c>
      <c r="AH51" s="47">
        <v>0.99911268722466962</v>
      </c>
      <c r="AI51" s="46">
        <v>11.391999999999999</v>
      </c>
      <c r="AJ51" s="47">
        <v>1.0037004405286343</v>
      </c>
      <c r="AK51" s="46">
        <v>11.309714</v>
      </c>
      <c r="AL51" s="47">
        <v>0.9964505726872247</v>
      </c>
      <c r="AM51" s="46">
        <v>11.108286</v>
      </c>
      <c r="AN51" s="47">
        <v>0.97870361233480174</v>
      </c>
      <c r="AO51" s="46">
        <v>10.816214</v>
      </c>
      <c r="AP51" s="47">
        <v>0.95297039647577098</v>
      </c>
      <c r="AQ51" s="46">
        <v>10.081</v>
      </c>
      <c r="AR51" s="47">
        <v>0.88819383259911888</v>
      </c>
      <c r="AS51" s="46">
        <v>9.5525500000000001</v>
      </c>
      <c r="AT51" s="47">
        <v>0.84163436123348023</v>
      </c>
      <c r="AU51" s="46">
        <v>8.4468999999999994</v>
      </c>
      <c r="AV51" s="47">
        <v>0.74422026431718058</v>
      </c>
      <c r="AW51" s="46">
        <v>7.7336499999999999</v>
      </c>
      <c r="AX51" s="47">
        <v>0.6813788546255507</v>
      </c>
      <c r="AY51" s="46">
        <v>7.4173</v>
      </c>
      <c r="AZ51" s="47">
        <v>0.65350660792951543</v>
      </c>
      <c r="BA51" s="46">
        <v>7.0154500000000004</v>
      </c>
      <c r="BB51" s="47">
        <v>0.61810132158590314</v>
      </c>
      <c r="BC51" s="46">
        <v>6.7760499999999997</v>
      </c>
      <c r="BD51" s="47">
        <v>0.59700881057268718</v>
      </c>
      <c r="BE51" s="46">
        <v>6.3325500000000003</v>
      </c>
      <c r="BF51" s="47">
        <v>0.55793392070484582</v>
      </c>
      <c r="BG51" s="46">
        <v>6.2804000000000002</v>
      </c>
      <c r="BH51" s="47">
        <v>0.55333920704845818</v>
      </c>
      <c r="BI51" s="46">
        <v>9.5525500000000001</v>
      </c>
      <c r="BJ51" s="47">
        <v>0.84163436123348023</v>
      </c>
      <c r="BK51" s="375" t="s">
        <v>127</v>
      </c>
      <c r="BL51" s="140" t="s">
        <v>138</v>
      </c>
    </row>
    <row r="52" spans="1:64">
      <c r="A52" s="38" t="s">
        <v>124</v>
      </c>
      <c r="B52" s="38" t="s">
        <v>139</v>
      </c>
      <c r="C52" s="39">
        <v>33</v>
      </c>
      <c r="D52" s="98" t="s">
        <v>140</v>
      </c>
      <c r="E52" s="42">
        <v>6.5</v>
      </c>
      <c r="F52" s="42">
        <v>6.5</v>
      </c>
      <c r="G52" s="42">
        <v>6.5</v>
      </c>
      <c r="H52" s="42">
        <v>6.5</v>
      </c>
      <c r="I52" s="42">
        <v>6.5</v>
      </c>
      <c r="J52" s="42">
        <v>6.5</v>
      </c>
      <c r="K52" s="42">
        <v>4.8</v>
      </c>
      <c r="L52" s="43">
        <v>4.8</v>
      </c>
      <c r="M52" s="44">
        <v>4.968</v>
      </c>
      <c r="N52" s="44">
        <v>4.968</v>
      </c>
      <c r="O52" s="45">
        <v>4.968</v>
      </c>
      <c r="P52" s="45">
        <v>4.968</v>
      </c>
      <c r="Q52" s="45">
        <v>4.968</v>
      </c>
      <c r="R52" s="45">
        <v>4.968</v>
      </c>
      <c r="S52" s="46">
        <v>1.601</v>
      </c>
      <c r="T52" s="47">
        <v>0.32226247987117551</v>
      </c>
      <c r="U52" s="46">
        <v>2.75</v>
      </c>
      <c r="V52" s="47">
        <v>0.55354267310789051</v>
      </c>
      <c r="W52" s="46">
        <v>3.49</v>
      </c>
      <c r="X52" s="47">
        <v>0.70249597423510468</v>
      </c>
      <c r="Y52" s="46">
        <v>3.69</v>
      </c>
      <c r="Z52" s="47">
        <v>0.74275362318840576</v>
      </c>
      <c r="AA52" s="46">
        <v>4.1050000000000004</v>
      </c>
      <c r="AB52" s="47">
        <v>0.82628824476650575</v>
      </c>
      <c r="AC52" s="46">
        <v>4.8639999999999999</v>
      </c>
      <c r="AD52" s="47">
        <v>0.97906602254428343</v>
      </c>
      <c r="AE52" s="46">
        <v>4.8339999999999996</v>
      </c>
      <c r="AF52" s="47">
        <v>0.97302737520128812</v>
      </c>
      <c r="AG52" s="46">
        <v>4.8339999999999996</v>
      </c>
      <c r="AH52" s="47">
        <v>0.97302737520128812</v>
      </c>
      <c r="AI52" s="46">
        <v>4.6900000000000004</v>
      </c>
      <c r="AJ52" s="47">
        <v>0.94404186795491152</v>
      </c>
      <c r="AK52" s="46">
        <v>4.5999999999999996</v>
      </c>
      <c r="AL52" s="47">
        <v>0.92592592592592582</v>
      </c>
      <c r="AM52" s="46">
        <v>4.2279999999999998</v>
      </c>
      <c r="AN52" s="47">
        <v>0.85104669887278583</v>
      </c>
      <c r="AO52" s="46">
        <v>3.7320000000000002</v>
      </c>
      <c r="AP52" s="47">
        <v>0.75120772946859904</v>
      </c>
      <c r="AQ52" s="46">
        <v>3.544</v>
      </c>
      <c r="AR52" s="47">
        <v>0.71336553945249603</v>
      </c>
      <c r="AS52" s="46">
        <v>3.2480000000000002</v>
      </c>
      <c r="AT52" s="47">
        <v>0.65378421900161032</v>
      </c>
      <c r="AU52" s="46">
        <v>2.9740000000000002</v>
      </c>
      <c r="AV52" s="47">
        <v>0.59863123993558776</v>
      </c>
      <c r="AW52" s="46">
        <v>2.5169999999999999</v>
      </c>
      <c r="AX52" s="47">
        <v>0.50664251207729472</v>
      </c>
      <c r="AY52" s="46">
        <v>2.2879999999999998</v>
      </c>
      <c r="AZ52" s="47">
        <v>0.46054750402576489</v>
      </c>
      <c r="BA52" s="46">
        <v>1.9750000000000001</v>
      </c>
      <c r="BB52" s="47">
        <v>0.39754428341384868</v>
      </c>
      <c r="BC52" s="46">
        <v>1.792</v>
      </c>
      <c r="BD52" s="47">
        <v>0.36070853462157809</v>
      </c>
      <c r="BE52" s="46">
        <v>1.542</v>
      </c>
      <c r="BF52" s="47">
        <v>0.31038647342995168</v>
      </c>
      <c r="BG52" s="46">
        <v>1.04</v>
      </c>
      <c r="BH52" s="47">
        <v>0.20933977455716588</v>
      </c>
      <c r="BI52" s="46">
        <v>1.1859999999999999</v>
      </c>
      <c r="BJ52" s="47">
        <v>0.23872785829307566</v>
      </c>
      <c r="BK52" s="375" t="s">
        <v>141</v>
      </c>
    </row>
    <row r="53" spans="1:64">
      <c r="A53" s="38" t="s">
        <v>124</v>
      </c>
      <c r="B53" s="38" t="s">
        <v>142</v>
      </c>
      <c r="C53" s="39">
        <v>4</v>
      </c>
      <c r="D53" s="98" t="s">
        <v>143</v>
      </c>
      <c r="E53" s="42">
        <v>15</v>
      </c>
      <c r="F53" s="42">
        <v>15</v>
      </c>
      <c r="G53" s="42">
        <v>15</v>
      </c>
      <c r="H53" s="42">
        <v>15</v>
      </c>
      <c r="I53" s="42">
        <v>15</v>
      </c>
      <c r="J53" s="42">
        <v>15</v>
      </c>
      <c r="K53" s="42">
        <v>15</v>
      </c>
      <c r="L53" s="43">
        <v>15</v>
      </c>
      <c r="M53" s="44">
        <v>15</v>
      </c>
      <c r="N53" s="44">
        <v>15</v>
      </c>
      <c r="O53" s="45">
        <v>15</v>
      </c>
      <c r="P53" s="45">
        <v>15</v>
      </c>
      <c r="Q53" s="45">
        <v>15</v>
      </c>
      <c r="R53" s="45">
        <v>15</v>
      </c>
      <c r="S53" s="46">
        <v>1.42</v>
      </c>
      <c r="T53" s="47">
        <v>9.4666666666666663E-2</v>
      </c>
      <c r="U53" s="46">
        <v>2.4700000000000002</v>
      </c>
      <c r="V53" s="47">
        <v>0.16466666666666668</v>
      </c>
      <c r="W53" s="46">
        <v>2.82</v>
      </c>
      <c r="X53" s="47">
        <v>0.188</v>
      </c>
      <c r="Y53" s="46">
        <v>6.7439999999999998</v>
      </c>
      <c r="Z53" s="47">
        <v>0.4496</v>
      </c>
      <c r="AA53" s="46">
        <v>7.3929999999999998</v>
      </c>
      <c r="AB53" s="47">
        <v>0.49286666666666668</v>
      </c>
      <c r="AC53" s="46">
        <v>9.0250000000000004</v>
      </c>
      <c r="AD53" s="47">
        <v>0.60166666666666668</v>
      </c>
      <c r="AE53" s="46">
        <v>9.32</v>
      </c>
      <c r="AF53" s="47">
        <v>0.6213333333333334</v>
      </c>
      <c r="AG53" s="46">
        <v>9.3424999999999994</v>
      </c>
      <c r="AH53" s="47">
        <v>0.62283333333333324</v>
      </c>
      <c r="AI53" s="46">
        <v>9.5824999999999996</v>
      </c>
      <c r="AJ53" s="47">
        <v>0.63883333333333325</v>
      </c>
      <c r="AK53" s="46">
        <v>9.5824999999999996</v>
      </c>
      <c r="AL53" s="47">
        <v>0.63883333333333325</v>
      </c>
      <c r="AM53" s="46">
        <v>8.8710000000000004</v>
      </c>
      <c r="AN53" s="47">
        <v>0.59140000000000004</v>
      </c>
      <c r="AO53" s="46">
        <v>8.1080000000000005</v>
      </c>
      <c r="AP53" s="47">
        <v>0.54053333333333342</v>
      </c>
      <c r="AQ53" s="46">
        <v>6.14</v>
      </c>
      <c r="AR53" s="47">
        <v>0.40933333333333333</v>
      </c>
      <c r="AS53" s="46">
        <v>5.42</v>
      </c>
      <c r="AT53" s="47">
        <v>0.36133333333333334</v>
      </c>
      <c r="AU53" s="46">
        <v>4.218</v>
      </c>
      <c r="AV53" s="47">
        <v>0.28120000000000001</v>
      </c>
      <c r="AW53" s="46">
        <v>3.91</v>
      </c>
      <c r="AX53" s="47">
        <v>0.26066666666666666</v>
      </c>
      <c r="AY53" s="46">
        <v>3.6890000000000001</v>
      </c>
      <c r="AZ53" s="47">
        <v>0.24593333333333334</v>
      </c>
      <c r="BA53" s="46">
        <v>3.2130000000000001</v>
      </c>
      <c r="BB53" s="47">
        <v>0.2142</v>
      </c>
      <c r="BC53" s="46">
        <v>2.968</v>
      </c>
      <c r="BD53" s="47">
        <v>0.19786666666666666</v>
      </c>
      <c r="BE53" s="46">
        <v>2.7014999999999998</v>
      </c>
      <c r="BF53" s="47">
        <v>0.18009999999999998</v>
      </c>
      <c r="BG53" s="46">
        <v>2.6429999999999998</v>
      </c>
      <c r="BH53" s="47">
        <v>0.1762</v>
      </c>
      <c r="BI53" s="46">
        <v>4.266</v>
      </c>
      <c r="BJ53" s="47">
        <v>0.28439999999999999</v>
      </c>
      <c r="BK53" s="375" t="s">
        <v>127</v>
      </c>
      <c r="BL53" s="119"/>
    </row>
    <row r="54" spans="1:64">
      <c r="A54" s="38" t="s">
        <v>124</v>
      </c>
      <c r="B54" s="38" t="s">
        <v>144</v>
      </c>
      <c r="C54" s="39">
        <v>5</v>
      </c>
      <c r="D54" s="98" t="s">
        <v>144</v>
      </c>
      <c r="E54" s="42">
        <v>3.2</v>
      </c>
      <c r="F54" s="42">
        <v>3.2</v>
      </c>
      <c r="G54" s="42">
        <v>3.2</v>
      </c>
      <c r="H54" s="42">
        <v>3.2</v>
      </c>
      <c r="I54" s="42">
        <v>3.2</v>
      </c>
      <c r="J54" s="42">
        <v>3.2</v>
      </c>
      <c r="K54" s="42">
        <v>3.2</v>
      </c>
      <c r="L54" s="43">
        <v>3.2</v>
      </c>
      <c r="M54" s="44">
        <v>3.2</v>
      </c>
      <c r="N54" s="44">
        <v>3.2</v>
      </c>
      <c r="O54" s="45">
        <v>3.2</v>
      </c>
      <c r="P54" s="45">
        <v>3.2</v>
      </c>
      <c r="Q54" s="45">
        <v>3.2</v>
      </c>
      <c r="R54" s="45">
        <v>3.2</v>
      </c>
      <c r="S54" s="46">
        <v>1.0609999999999999</v>
      </c>
      <c r="T54" s="47">
        <v>0.33156249999999998</v>
      </c>
      <c r="U54" s="46">
        <v>1.22</v>
      </c>
      <c r="V54" s="47">
        <v>0.38124999999999998</v>
      </c>
      <c r="W54" s="46">
        <v>1.24</v>
      </c>
      <c r="X54" s="47">
        <v>0.38749999999999996</v>
      </c>
      <c r="Y54" s="46">
        <v>1.5696000000000001</v>
      </c>
      <c r="Z54" s="47">
        <v>0.49049999999999999</v>
      </c>
      <c r="AA54" s="46">
        <v>1.8585</v>
      </c>
      <c r="AB54" s="47">
        <v>0.58078125000000003</v>
      </c>
      <c r="AC54" s="46">
        <v>2.0289999999999999</v>
      </c>
      <c r="AD54" s="47">
        <v>0.63406249999999997</v>
      </c>
      <c r="AE54" s="46">
        <v>2.02</v>
      </c>
      <c r="AF54" s="47">
        <v>0.63124999999999998</v>
      </c>
      <c r="AG54" s="46">
        <v>2.0190000000000001</v>
      </c>
      <c r="AH54" s="47">
        <v>0.63093750000000004</v>
      </c>
      <c r="AI54" s="46">
        <v>2.085</v>
      </c>
      <c r="AJ54" s="47">
        <v>0.65156249999999993</v>
      </c>
      <c r="AK54" s="46">
        <v>2.0545</v>
      </c>
      <c r="AL54" s="47">
        <v>0.64203124999999994</v>
      </c>
      <c r="AM54" s="46">
        <v>1.92</v>
      </c>
      <c r="AN54" s="47">
        <v>0.6</v>
      </c>
      <c r="AO54" s="46">
        <v>1.8394999999999999</v>
      </c>
      <c r="AP54" s="47">
        <v>0.57484374999999999</v>
      </c>
      <c r="AQ54" s="46">
        <v>1.681</v>
      </c>
      <c r="AR54" s="47">
        <v>0.52531249999999996</v>
      </c>
      <c r="AS54" s="46">
        <v>1.5960000000000001</v>
      </c>
      <c r="AT54" s="47">
        <v>0.49875000000000003</v>
      </c>
      <c r="AU54" s="46">
        <v>1.4870000000000001</v>
      </c>
      <c r="AV54" s="47">
        <v>0.46468750000000003</v>
      </c>
      <c r="AW54" s="46">
        <v>1.411</v>
      </c>
      <c r="AX54" s="47">
        <v>0.44093749999999998</v>
      </c>
      <c r="AY54" s="46">
        <v>1.3540000000000001</v>
      </c>
      <c r="AZ54" s="47">
        <v>0.42312500000000003</v>
      </c>
      <c r="BA54" s="46">
        <v>1.3374999999999999</v>
      </c>
      <c r="BB54" s="47">
        <v>0.41796874999999994</v>
      </c>
      <c r="BC54" s="46">
        <v>1.3169999999999999</v>
      </c>
      <c r="BD54" s="47">
        <v>0.41156249999999994</v>
      </c>
      <c r="BE54" s="46">
        <v>1.2775000000000001</v>
      </c>
      <c r="BF54" s="47">
        <v>0.39921875000000001</v>
      </c>
      <c r="BG54" s="46">
        <v>1.2815000000000001</v>
      </c>
      <c r="BH54" s="47">
        <v>0.40046874999999998</v>
      </c>
      <c r="BI54" s="46">
        <v>1.4239999999999999</v>
      </c>
      <c r="BJ54" s="47">
        <v>0.44499999999999995</v>
      </c>
      <c r="BK54" s="375" t="s">
        <v>135</v>
      </c>
      <c r="BL54" s="119"/>
    </row>
    <row r="55" spans="1:64">
      <c r="A55" s="38" t="s">
        <v>124</v>
      </c>
      <c r="B55" s="38" t="s">
        <v>145</v>
      </c>
      <c r="C55" s="39" t="s">
        <v>146</v>
      </c>
      <c r="D55" s="98" t="s">
        <v>147</v>
      </c>
      <c r="E55" s="42"/>
      <c r="F55" s="42"/>
      <c r="G55" s="42"/>
      <c r="H55" s="42"/>
      <c r="I55" s="42"/>
      <c r="J55" s="42"/>
      <c r="K55" s="42"/>
      <c r="L55" s="43"/>
      <c r="M55" s="44"/>
      <c r="N55" s="44"/>
      <c r="O55" s="45"/>
      <c r="P55" s="45"/>
      <c r="Q55" s="45">
        <v>1.1579999999999999</v>
      </c>
      <c r="R55" s="45">
        <v>1.1579999999999999</v>
      </c>
      <c r="S55" s="46">
        <v>7.0000000000000007E-2</v>
      </c>
      <c r="T55" s="47">
        <v>6.0449050086355795E-2</v>
      </c>
      <c r="U55" s="46">
        <v>0.2</v>
      </c>
      <c r="V55" s="47">
        <v>0.17271157167530227</v>
      </c>
      <c r="W55" s="46">
        <v>0.26</v>
      </c>
      <c r="X55" s="47">
        <v>0.22452504317789293</v>
      </c>
      <c r="Y55" s="46">
        <v>0.73350000000000004</v>
      </c>
      <c r="Z55" s="47">
        <v>0.63341968911917101</v>
      </c>
      <c r="AA55" s="46">
        <v>0.79</v>
      </c>
      <c r="AB55" s="47">
        <v>0.682210708117444</v>
      </c>
      <c r="AC55" s="46">
        <v>0.89</v>
      </c>
      <c r="AD55" s="47">
        <v>0.76856649395509502</v>
      </c>
      <c r="AE55" s="46">
        <v>0.92</v>
      </c>
      <c r="AF55" s="47">
        <v>0.79447322970639045</v>
      </c>
      <c r="AG55" s="46">
        <v>1</v>
      </c>
      <c r="AH55" s="47">
        <v>0.86355785837651133</v>
      </c>
      <c r="AI55" s="46">
        <v>1.07</v>
      </c>
      <c r="AJ55" s="47">
        <v>0.92400690846286715</v>
      </c>
      <c r="AK55" s="46">
        <v>1.07</v>
      </c>
      <c r="AL55" s="47">
        <v>0.92400690846286715</v>
      </c>
      <c r="AM55" s="46">
        <v>1.06</v>
      </c>
      <c r="AN55" s="47">
        <v>0.91537132987910197</v>
      </c>
      <c r="AO55" s="46">
        <v>0.92</v>
      </c>
      <c r="AP55" s="47">
        <v>0.79447322970639045</v>
      </c>
      <c r="AQ55" s="46">
        <v>0.66</v>
      </c>
      <c r="AR55" s="47">
        <v>0.56994818652849744</v>
      </c>
      <c r="AS55" s="46">
        <v>0.66</v>
      </c>
      <c r="AT55" s="47">
        <v>0.56994818652849744</v>
      </c>
      <c r="AU55" s="46">
        <v>0.37</v>
      </c>
      <c r="AV55" s="47">
        <v>0.31951640759930916</v>
      </c>
      <c r="AW55" s="46">
        <v>0.33</v>
      </c>
      <c r="AX55" s="47">
        <v>0.28497409326424872</v>
      </c>
      <c r="AY55" s="46">
        <v>0.33</v>
      </c>
      <c r="AZ55" s="47">
        <v>0.28497409326424872</v>
      </c>
      <c r="BA55" s="46">
        <v>0.23</v>
      </c>
      <c r="BB55" s="47">
        <v>0.19861830742659761</v>
      </c>
      <c r="BC55" s="46">
        <v>0.17</v>
      </c>
      <c r="BD55" s="47">
        <v>0.14680483592400692</v>
      </c>
      <c r="BE55" s="46">
        <v>0.14000000000000001</v>
      </c>
      <c r="BF55" s="47">
        <v>0.12089810017271159</v>
      </c>
      <c r="BG55" s="46">
        <v>0.16805999999999999</v>
      </c>
      <c r="BH55" s="47">
        <v>0.14512953367875647</v>
      </c>
      <c r="BI55" s="46">
        <v>0.24</v>
      </c>
      <c r="BJ55" s="47">
        <v>0.20725388601036271</v>
      </c>
      <c r="BK55" s="375" t="s">
        <v>148</v>
      </c>
      <c r="BL55" s="119"/>
    </row>
    <row r="56" spans="1:64">
      <c r="A56" s="38" t="s">
        <v>124</v>
      </c>
      <c r="B56" s="38" t="s">
        <v>149</v>
      </c>
      <c r="C56" s="39" t="s">
        <v>150</v>
      </c>
      <c r="D56" s="98" t="s">
        <v>149</v>
      </c>
      <c r="E56" s="42"/>
      <c r="F56" s="42"/>
      <c r="G56" s="42"/>
      <c r="H56" s="42"/>
      <c r="I56" s="42"/>
      <c r="J56" s="42"/>
      <c r="K56" s="42"/>
      <c r="L56" s="43"/>
      <c r="M56" s="44"/>
      <c r="N56" s="44"/>
      <c r="O56" s="45"/>
      <c r="P56" s="45"/>
      <c r="Q56" s="45">
        <v>0.78</v>
      </c>
      <c r="R56" s="45">
        <v>0.78</v>
      </c>
      <c r="S56" s="46">
        <v>5.7000000000000002E-2</v>
      </c>
      <c r="T56" s="47">
        <v>7.3076923076923081E-2</v>
      </c>
      <c r="U56" s="46">
        <v>0.2</v>
      </c>
      <c r="V56" s="47">
        <v>0.25641025641025644</v>
      </c>
      <c r="W56" s="46">
        <v>0.3</v>
      </c>
      <c r="X56" s="47">
        <v>0.38461538461538458</v>
      </c>
      <c r="Y56" s="46">
        <v>0.43090000000000001</v>
      </c>
      <c r="Z56" s="47">
        <v>0.55243589743589738</v>
      </c>
      <c r="AA56" s="46">
        <v>0.4738</v>
      </c>
      <c r="AB56" s="47">
        <v>0.60743589743589743</v>
      </c>
      <c r="AC56" s="46">
        <v>0.6</v>
      </c>
      <c r="AD56" s="47">
        <v>0.76923076923076916</v>
      </c>
      <c r="AE56" s="46">
        <v>0.65600000000000003</v>
      </c>
      <c r="AF56" s="47">
        <v>0.84102564102564104</v>
      </c>
      <c r="AG56" s="46">
        <v>0.66</v>
      </c>
      <c r="AH56" s="47">
        <v>0.84615384615384615</v>
      </c>
      <c r="AI56" s="46">
        <v>0.65500000000000003</v>
      </c>
      <c r="AJ56" s="47">
        <v>0.83974358974358976</v>
      </c>
      <c r="AK56" s="46">
        <v>0.64649999999999996</v>
      </c>
      <c r="AL56" s="47">
        <v>0.82884615384615379</v>
      </c>
      <c r="AM56" s="46">
        <v>0.57350000000000001</v>
      </c>
      <c r="AN56" s="47">
        <v>0.7352564102564102</v>
      </c>
      <c r="AO56" s="46">
        <v>0.51249999999999996</v>
      </c>
      <c r="AP56" s="47">
        <v>0.65705128205128194</v>
      </c>
      <c r="AQ56" s="46">
        <v>0.40150000000000002</v>
      </c>
      <c r="AR56" s="47">
        <v>0.5147435897435898</v>
      </c>
      <c r="AS56" s="46">
        <v>0.35349999999999998</v>
      </c>
      <c r="AT56" s="47">
        <v>0.45320512820512815</v>
      </c>
      <c r="AU56" s="46">
        <v>0.26469999999999999</v>
      </c>
      <c r="AV56" s="47">
        <v>0.33935897435897433</v>
      </c>
      <c r="AW56" s="46">
        <v>0.24</v>
      </c>
      <c r="AX56" s="47">
        <v>0.30769230769230765</v>
      </c>
      <c r="AY56" s="46">
        <v>0.1915</v>
      </c>
      <c r="AZ56" s="47">
        <v>0.2455128205128205</v>
      </c>
      <c r="BA56" s="46">
        <v>0.16650000000000001</v>
      </c>
      <c r="BB56" s="47">
        <v>0.21346153846153845</v>
      </c>
      <c r="BC56" s="46">
        <v>0.14399999999999999</v>
      </c>
      <c r="BD56" s="47">
        <v>0.1846153846153846</v>
      </c>
      <c r="BE56" s="46">
        <v>9.7500000000000003E-2</v>
      </c>
      <c r="BF56" s="47">
        <v>0.125</v>
      </c>
      <c r="BG56" s="46">
        <v>0.08</v>
      </c>
      <c r="BH56" s="47">
        <v>0.10256410256410256</v>
      </c>
      <c r="BI56" s="46">
        <v>0.11600000000000001</v>
      </c>
      <c r="BJ56" s="47">
        <v>0.14871794871794872</v>
      </c>
      <c r="BK56" s="375" t="s">
        <v>135</v>
      </c>
      <c r="BL56" s="119"/>
    </row>
    <row r="57" spans="1:64">
      <c r="A57" s="38" t="s">
        <v>124</v>
      </c>
      <c r="B57" s="38" t="s">
        <v>151</v>
      </c>
      <c r="C57" s="39" t="s">
        <v>152</v>
      </c>
      <c r="D57" s="98" t="s">
        <v>153</v>
      </c>
      <c r="E57" s="42"/>
      <c r="F57" s="42"/>
      <c r="G57" s="42"/>
      <c r="H57" s="42"/>
      <c r="I57" s="42"/>
      <c r="J57" s="42"/>
      <c r="K57" s="42"/>
      <c r="L57" s="43"/>
      <c r="M57" s="44"/>
      <c r="N57" s="44"/>
      <c r="O57" s="45"/>
      <c r="P57" s="45"/>
      <c r="Q57" s="45">
        <v>0.64100000000000001</v>
      </c>
      <c r="R57" s="45">
        <v>0.64100000000000001</v>
      </c>
      <c r="S57" s="46">
        <v>0.04</v>
      </c>
      <c r="T57" s="47">
        <v>6.2402496099843996E-2</v>
      </c>
      <c r="U57" s="46">
        <v>0.19800000000000001</v>
      </c>
      <c r="V57" s="47">
        <v>0.30889235569422779</v>
      </c>
      <c r="W57" s="46">
        <v>0.1</v>
      </c>
      <c r="X57" s="47">
        <v>0.15600624024960999</v>
      </c>
      <c r="Y57" s="46">
        <v>0.31990000000000002</v>
      </c>
      <c r="Z57" s="47">
        <v>0.49906396255850238</v>
      </c>
      <c r="AA57" s="46">
        <v>0.34389999999999998</v>
      </c>
      <c r="AB57" s="47">
        <v>0.53650546021840873</v>
      </c>
      <c r="AC57" s="46">
        <v>0.3765</v>
      </c>
      <c r="AD57" s="47">
        <v>0.58736349453978154</v>
      </c>
      <c r="AE57" s="46">
        <v>0.39700000000000002</v>
      </c>
      <c r="AF57" s="47">
        <v>0.61934477379095165</v>
      </c>
      <c r="AG57" s="46">
        <v>0.40100000000000002</v>
      </c>
      <c r="AH57" s="47">
        <v>0.62558502340093602</v>
      </c>
      <c r="AI57" s="46">
        <v>0.45900000000000002</v>
      </c>
      <c r="AJ57" s="47">
        <v>0.7160686427457098</v>
      </c>
      <c r="AK57" s="46">
        <v>0.45900000000000002</v>
      </c>
      <c r="AL57" s="47">
        <v>0.7160686427457098</v>
      </c>
      <c r="AM57" s="46">
        <v>0.45300000000000001</v>
      </c>
      <c r="AN57" s="47">
        <v>0.70670826833073319</v>
      </c>
      <c r="AO57" s="46">
        <v>0.42280000000000001</v>
      </c>
      <c r="AP57" s="47">
        <v>0.65959438377535107</v>
      </c>
      <c r="AQ57" s="46">
        <v>0.33</v>
      </c>
      <c r="AR57" s="47">
        <v>0.51482059282371295</v>
      </c>
      <c r="AS57" s="46">
        <v>0.2475</v>
      </c>
      <c r="AT57" s="47">
        <v>0.38611544461778469</v>
      </c>
      <c r="AU57" s="46">
        <v>0.17</v>
      </c>
      <c r="AV57" s="47">
        <v>0.26521060842433697</v>
      </c>
      <c r="AW57" s="46">
        <v>0.13900000000000001</v>
      </c>
      <c r="AX57" s="47">
        <v>0.21684867394695789</v>
      </c>
      <c r="AY57" s="46">
        <v>9.4500000000000001E-2</v>
      </c>
      <c r="AZ57" s="47">
        <v>0.14742589703588144</v>
      </c>
      <c r="BA57" s="46">
        <v>7.6999999999999999E-2</v>
      </c>
      <c r="BB57" s="47">
        <v>0.12012480499219969</v>
      </c>
      <c r="BC57" s="46">
        <v>6.0999999999999999E-2</v>
      </c>
      <c r="BD57" s="47">
        <v>9.5163806552262087E-2</v>
      </c>
      <c r="BE57" s="46">
        <v>2.5999999999999999E-2</v>
      </c>
      <c r="BF57" s="47">
        <v>4.056162246489859E-2</v>
      </c>
      <c r="BG57" s="46">
        <v>1.6E-2</v>
      </c>
      <c r="BH57" s="47">
        <v>2.4960998439937598E-2</v>
      </c>
      <c r="BI57" s="46">
        <v>0.20499999999999999</v>
      </c>
      <c r="BJ57" s="47">
        <v>0.31981279251170042</v>
      </c>
      <c r="BK57" s="375" t="s">
        <v>135</v>
      </c>
      <c r="BL57" s="119"/>
    </row>
    <row r="58" spans="1:64" s="73" customFormat="1" ht="13.5" customHeight="1" thickBot="1">
      <c r="A58" s="414" t="s">
        <v>154</v>
      </c>
      <c r="B58" s="414"/>
      <c r="C58" s="373"/>
      <c r="D58" s="141"/>
      <c r="E58" s="65">
        <v>74.2</v>
      </c>
      <c r="F58" s="65">
        <v>74.2</v>
      </c>
      <c r="G58" s="65">
        <v>74.2</v>
      </c>
      <c r="H58" s="65">
        <v>74.2</v>
      </c>
      <c r="I58" s="65">
        <v>74.2</v>
      </c>
      <c r="J58" s="65">
        <v>74.2</v>
      </c>
      <c r="K58" s="65">
        <v>75.25</v>
      </c>
      <c r="L58" s="66">
        <v>75.25</v>
      </c>
      <c r="M58" s="67">
        <v>75.418000000000006</v>
      </c>
      <c r="N58" s="67">
        <v>75.418000000000006</v>
      </c>
      <c r="O58" s="68">
        <v>75.418000000000006</v>
      </c>
      <c r="P58" s="68">
        <v>75.418000000000006</v>
      </c>
      <c r="Q58" s="68">
        <v>77.997000000000014</v>
      </c>
      <c r="R58" s="68">
        <v>77.997000000000014</v>
      </c>
      <c r="S58" s="69">
        <v>30.888000000000002</v>
      </c>
      <c r="T58" s="47">
        <v>0.39601523135505207</v>
      </c>
      <c r="U58" s="69">
        <v>34.088000000000008</v>
      </c>
      <c r="V58" s="47">
        <v>0.43704245035065453</v>
      </c>
      <c r="W58" s="69">
        <v>35.6</v>
      </c>
      <c r="X58" s="47">
        <v>0.45642781132607657</v>
      </c>
      <c r="Y58" s="69">
        <v>46.075582999999995</v>
      </c>
      <c r="Z58" s="47">
        <v>0.59073532315345445</v>
      </c>
      <c r="AA58" s="69">
        <v>50.322353999999997</v>
      </c>
      <c r="AB58" s="47">
        <v>0.64518319935382118</v>
      </c>
      <c r="AC58" s="69">
        <v>61.293243000000004</v>
      </c>
      <c r="AD58" s="47">
        <v>0.78584103234739788</v>
      </c>
      <c r="AE58" s="69">
        <v>63.421801000000002</v>
      </c>
      <c r="AF58" s="47">
        <v>0.81313128710078586</v>
      </c>
      <c r="AG58" s="69">
        <v>64.335322000000005</v>
      </c>
      <c r="AH58" s="47">
        <v>0.82484354526456138</v>
      </c>
      <c r="AI58" s="69">
        <v>64.971197000000004</v>
      </c>
      <c r="AJ58" s="47">
        <v>0.83299610241419531</v>
      </c>
      <c r="AK58" s="69">
        <v>64.761436000000003</v>
      </c>
      <c r="AL58" s="47">
        <v>0.83030675538802767</v>
      </c>
      <c r="AM58" s="69">
        <v>62.273607000000013</v>
      </c>
      <c r="AN58" s="47">
        <v>0.79841028501096201</v>
      </c>
      <c r="AO58" s="69">
        <v>59.286053000000003</v>
      </c>
      <c r="AP58" s="47">
        <v>0.76010683744246565</v>
      </c>
      <c r="AQ58" s="69">
        <v>54.632739999999984</v>
      </c>
      <c r="AR58" s="47">
        <v>0.74809650960577267</v>
      </c>
      <c r="AS58" s="69">
        <v>50.933754999999991</v>
      </c>
      <c r="AT58" s="47">
        <v>0.65302197520417427</v>
      </c>
      <c r="AU58" s="69">
        <v>45.671844999999998</v>
      </c>
      <c r="AV58" s="47">
        <v>0.58555899585881499</v>
      </c>
      <c r="AW58" s="69">
        <v>42.986027000000007</v>
      </c>
      <c r="AX58" s="47">
        <v>0.55112410733746164</v>
      </c>
      <c r="AY58" s="69">
        <v>41.248288999999986</v>
      </c>
      <c r="AZ58" s="47">
        <v>0.52884455812403008</v>
      </c>
      <c r="BA58" s="69">
        <v>38.136037999999992</v>
      </c>
      <c r="BB58" s="47">
        <v>0.48894236957831694</v>
      </c>
      <c r="BC58" s="69">
        <v>36.421488000000004</v>
      </c>
      <c r="BD58" s="47">
        <v>0.46696011385053265</v>
      </c>
      <c r="BE58" s="69">
        <v>33.996171000000004</v>
      </c>
      <c r="BF58" s="47">
        <v>0.435865110196546</v>
      </c>
      <c r="BG58" s="69">
        <v>32.977129999999988</v>
      </c>
      <c r="BH58" s="47">
        <v>0.42279997948639025</v>
      </c>
      <c r="BI58" s="69">
        <v>38.199261</v>
      </c>
      <c r="BJ58" s="47">
        <v>0.48975295203661673</v>
      </c>
      <c r="BK58" s="142"/>
      <c r="BL58" s="143">
        <v>112.71883</v>
      </c>
    </row>
    <row r="59" spans="1:64" ht="4.5" customHeight="1" thickBot="1">
      <c r="A59" s="144"/>
      <c r="B59" s="144"/>
      <c r="C59" s="145"/>
      <c r="D59" s="144"/>
      <c r="E59" s="104"/>
      <c r="F59" s="104"/>
      <c r="G59" s="104"/>
      <c r="H59" s="104"/>
      <c r="I59" s="104"/>
      <c r="J59" s="104"/>
      <c r="K59" s="104"/>
      <c r="L59" s="104"/>
      <c r="M59" s="146"/>
      <c r="N59" s="146"/>
      <c r="O59" s="147"/>
      <c r="P59" s="147"/>
      <c r="Q59" s="147"/>
      <c r="R59" s="147"/>
      <c r="S59" s="80"/>
      <c r="T59" s="81"/>
      <c r="U59" s="80"/>
      <c r="V59" s="81"/>
      <c r="W59" s="80"/>
      <c r="X59" s="81"/>
      <c r="Y59" s="80"/>
      <c r="Z59" s="81"/>
      <c r="AA59" s="80"/>
      <c r="AB59" s="81"/>
      <c r="AC59" s="80"/>
      <c r="AD59" s="81"/>
      <c r="AE59" s="80"/>
      <c r="AF59" s="81"/>
      <c r="AG59" s="80"/>
      <c r="AH59" s="81"/>
      <c r="AI59" s="80"/>
      <c r="AJ59" s="81"/>
      <c r="AK59" s="80"/>
      <c r="AL59" s="81"/>
      <c r="AM59" s="80"/>
      <c r="AN59" s="81"/>
      <c r="AO59" s="80"/>
      <c r="AP59" s="81"/>
      <c r="AQ59" s="80"/>
      <c r="AR59" s="81"/>
      <c r="AS59" s="80"/>
      <c r="AT59" s="81"/>
      <c r="AU59" s="80"/>
      <c r="AV59" s="81"/>
      <c r="AW59" s="80"/>
      <c r="AX59" s="81"/>
      <c r="AY59" s="80"/>
      <c r="AZ59" s="81"/>
      <c r="BA59" s="80"/>
      <c r="BB59" s="81"/>
      <c r="BC59" s="80"/>
      <c r="BD59" s="81"/>
      <c r="BE59" s="80"/>
      <c r="BF59" s="81"/>
      <c r="BG59" s="80"/>
      <c r="BH59" s="81"/>
      <c r="BI59" s="80"/>
      <c r="BJ59" s="81"/>
    </row>
    <row r="60" spans="1:64" s="73" customFormat="1" ht="13.5" customHeight="1" thickBot="1">
      <c r="A60" s="415" t="s">
        <v>155</v>
      </c>
      <c r="B60" s="415"/>
      <c r="C60" s="148"/>
      <c r="D60" s="149"/>
      <c r="E60" s="150">
        <v>370.32099999999997</v>
      </c>
      <c r="F60" s="151">
        <v>383.86099999999999</v>
      </c>
      <c r="G60" s="151">
        <v>381.1</v>
      </c>
      <c r="H60" s="151">
        <v>381.1</v>
      </c>
      <c r="I60" s="151">
        <v>381.1</v>
      </c>
      <c r="J60" s="151">
        <v>381.1</v>
      </c>
      <c r="K60" s="151">
        <v>379.62000000000006</v>
      </c>
      <c r="L60" s="152">
        <v>379.62000000000006</v>
      </c>
      <c r="M60" s="89">
        <v>380.32800000000009</v>
      </c>
      <c r="N60" s="89">
        <v>380.19049999999999</v>
      </c>
      <c r="O60" s="90">
        <v>380.76049999999998</v>
      </c>
      <c r="P60" s="90">
        <v>380.76049999999998</v>
      </c>
      <c r="Q60" s="90">
        <v>389.48949999999996</v>
      </c>
      <c r="R60" s="90">
        <v>389.48949999999996</v>
      </c>
      <c r="S60" s="91">
        <v>122.79</v>
      </c>
      <c r="T60" s="92">
        <v>0.31525881955739504</v>
      </c>
      <c r="U60" s="91">
        <v>164.03500000000003</v>
      </c>
      <c r="V60" s="92">
        <v>0.43021116500716655</v>
      </c>
      <c r="W60" s="91">
        <v>173.84</v>
      </c>
      <c r="X60" s="92">
        <v>0.45592653351324913</v>
      </c>
      <c r="Y60" s="91">
        <v>217.34770199999997</v>
      </c>
      <c r="Z60" s="92">
        <v>0.55803224990660849</v>
      </c>
      <c r="AA60" s="91">
        <v>248.223434</v>
      </c>
      <c r="AB60" s="92">
        <v>0.6373045589162224</v>
      </c>
      <c r="AC60" s="91">
        <v>294.38077899999996</v>
      </c>
      <c r="AD60" s="92">
        <v>0.75581184858641881</v>
      </c>
      <c r="AE60" s="91">
        <v>301.857303</v>
      </c>
      <c r="AF60" s="92">
        <v>0.7750075496258565</v>
      </c>
      <c r="AG60" s="91">
        <v>309.183898</v>
      </c>
      <c r="AH60" s="92">
        <v>0.79381831345902787</v>
      </c>
      <c r="AI60" s="91">
        <v>311.82210600000002</v>
      </c>
      <c r="AJ60" s="92">
        <v>0.80059181569721405</v>
      </c>
      <c r="AK60" s="91">
        <v>308.68469000000005</v>
      </c>
      <c r="AL60" s="92">
        <v>0.79253661523609775</v>
      </c>
      <c r="AM60" s="91">
        <v>294.859555</v>
      </c>
      <c r="AN60" s="92">
        <v>0.75704108839904549</v>
      </c>
      <c r="AO60" s="91">
        <v>273.39022999999997</v>
      </c>
      <c r="AP60" s="92">
        <v>0.70191938421960032</v>
      </c>
      <c r="AQ60" s="91">
        <v>251.48141399999997</v>
      </c>
      <c r="AR60" s="92">
        <v>0.65401132056334954</v>
      </c>
      <c r="AS60" s="91">
        <v>221.377723</v>
      </c>
      <c r="AT60" s="92">
        <v>0.60109702557363165</v>
      </c>
      <c r="AU60" s="91">
        <v>194.96677899999997</v>
      </c>
      <c r="AV60" s="92">
        <v>0.50057005131075416</v>
      </c>
      <c r="AW60" s="91">
        <v>182.53969500000002</v>
      </c>
      <c r="AX60" s="92">
        <v>0.46866396911855146</v>
      </c>
      <c r="AY60" s="91">
        <v>174.710948</v>
      </c>
      <c r="AZ60" s="92">
        <v>0.44856394845047176</v>
      </c>
      <c r="BA60" s="91">
        <v>164.02165116000003</v>
      </c>
      <c r="BB60" s="92">
        <v>0.42111957102823067</v>
      </c>
      <c r="BC60" s="91">
        <v>155.01410825000002</v>
      </c>
      <c r="BD60" s="92">
        <v>0.39799303511391204</v>
      </c>
      <c r="BE60" s="91">
        <v>146.18377100000001</v>
      </c>
      <c r="BF60" s="92">
        <v>0.37532146822956719</v>
      </c>
      <c r="BG60" s="91">
        <v>145.69595999999999</v>
      </c>
      <c r="BH60" s="92">
        <v>0.37406903138595521</v>
      </c>
      <c r="BI60" s="91">
        <v>198.121037</v>
      </c>
      <c r="BJ60" s="92">
        <v>0.5086684929888996</v>
      </c>
      <c r="BK60" s="153"/>
      <c r="BL60" s="72"/>
    </row>
    <row r="61" spans="1:64" s="154" customFormat="1" ht="27" customHeight="1">
      <c r="C61" s="155"/>
      <c r="W61" s="156">
        <v>51.05</v>
      </c>
      <c r="AA61" s="156">
        <v>74.383433999999994</v>
      </c>
      <c r="AC61" s="156">
        <v>46.157344999999964</v>
      </c>
      <c r="AE61" s="156">
        <v>53.633869000000004</v>
      </c>
      <c r="AF61" s="156"/>
      <c r="AG61" s="156">
        <v>60.960464000000002</v>
      </c>
      <c r="AI61" s="156">
        <v>63.598672000000022</v>
      </c>
      <c r="AK61" s="156">
        <v>60.461256000000049</v>
      </c>
      <c r="AL61" s="156"/>
      <c r="AM61" s="156">
        <v>46.636121000000003</v>
      </c>
      <c r="AN61" s="156"/>
      <c r="AO61" s="156">
        <v>25.166795999999977</v>
      </c>
      <c r="AP61" s="156"/>
      <c r="AQ61" s="156">
        <v>3.257979999999975</v>
      </c>
      <c r="AR61" s="156"/>
      <c r="AS61" s="156">
        <v>-26.845710999999994</v>
      </c>
      <c r="AT61" s="156"/>
      <c r="AU61" s="156">
        <v>-53.256655000000023</v>
      </c>
      <c r="AV61" s="156"/>
      <c r="AW61" s="156">
        <v>-65.683738999999974</v>
      </c>
      <c r="AX61" s="156"/>
      <c r="AY61" s="156">
        <v>-73.512485999999996</v>
      </c>
      <c r="AZ61" s="156"/>
      <c r="BA61" s="156">
        <v>-84.201782839999964</v>
      </c>
      <c r="BB61" s="156"/>
      <c r="BC61" s="156">
        <v>-93.209325749999977</v>
      </c>
      <c r="BD61" s="156"/>
      <c r="BE61" s="156">
        <v>-102.03966299999999</v>
      </c>
      <c r="BF61" s="156"/>
      <c r="BG61" s="156">
        <v>-102.52747400000001</v>
      </c>
      <c r="BH61" s="156"/>
      <c r="BI61" s="156">
        <v>-50.102396999999996</v>
      </c>
      <c r="BJ61" s="156"/>
      <c r="BK61" s="157" t="s">
        <v>156</v>
      </c>
    </row>
    <row r="62" spans="1:64" ht="13.5" thickBot="1">
      <c r="A62" s="158" t="s">
        <v>157</v>
      </c>
      <c r="Y62" s="159"/>
      <c r="Z62" s="160"/>
      <c r="AA62" s="159">
        <v>0</v>
      </c>
      <c r="AB62" s="160"/>
      <c r="AC62" s="159">
        <v>-46.157344999999964</v>
      </c>
      <c r="AD62" s="159"/>
      <c r="AE62" s="159"/>
      <c r="AF62" s="159"/>
      <c r="AG62" s="159"/>
      <c r="AH62" s="159"/>
      <c r="AI62" s="159">
        <v>-17.441327000000058</v>
      </c>
      <c r="AJ62" s="159"/>
      <c r="AO62" s="159">
        <v>38.431876000000045</v>
      </c>
      <c r="AP62" s="161"/>
      <c r="AQ62" s="161"/>
      <c r="AR62" s="161"/>
      <c r="AS62" s="161"/>
      <c r="AT62" s="161"/>
      <c r="AU62" s="159">
        <v>78.423451</v>
      </c>
      <c r="AV62" s="161"/>
      <c r="AW62" s="161"/>
      <c r="AX62" s="161"/>
      <c r="AY62" s="161"/>
      <c r="AZ62" s="161"/>
      <c r="BA62" s="159">
        <v>30.945127839999941</v>
      </c>
      <c r="BB62" s="159"/>
      <c r="BC62" s="159"/>
      <c r="BD62" s="159"/>
      <c r="BE62" s="159"/>
      <c r="BF62" s="159"/>
      <c r="BG62" s="159">
        <v>18.325691160000048</v>
      </c>
      <c r="BH62" s="159"/>
      <c r="BI62" s="159">
        <v>-52.425077000000016</v>
      </c>
      <c r="BJ62" s="159"/>
      <c r="BK62" s="157" t="s">
        <v>158</v>
      </c>
    </row>
    <row r="63" spans="1:64" ht="73.5" customHeight="1" thickBot="1">
      <c r="A63" s="162" t="s">
        <v>19</v>
      </c>
      <c r="B63" s="163" t="s">
        <v>20</v>
      </c>
      <c r="C63" s="163" t="s">
        <v>21</v>
      </c>
      <c r="D63" s="164" t="s">
        <v>22</v>
      </c>
      <c r="E63" s="165" t="s">
        <v>159</v>
      </c>
      <c r="F63" s="166" t="s">
        <v>160</v>
      </c>
      <c r="G63" s="166" t="s">
        <v>161</v>
      </c>
      <c r="H63" s="166" t="s">
        <v>162</v>
      </c>
      <c r="I63" s="166" t="s">
        <v>163</v>
      </c>
      <c r="J63" s="166" t="s">
        <v>164</v>
      </c>
      <c r="K63" s="166" t="s">
        <v>165</v>
      </c>
      <c r="L63" s="167" t="s">
        <v>166</v>
      </c>
      <c r="M63" s="168" t="s">
        <v>167</v>
      </c>
      <c r="N63" s="168" t="s">
        <v>168</v>
      </c>
      <c r="O63" s="169" t="s">
        <v>169</v>
      </c>
      <c r="P63" s="169" t="s">
        <v>170</v>
      </c>
      <c r="Q63" s="169" t="s">
        <v>171</v>
      </c>
      <c r="R63" s="169" t="s">
        <v>172</v>
      </c>
      <c r="S63" s="170"/>
      <c r="T63" s="171">
        <v>44927</v>
      </c>
      <c r="U63" s="170"/>
      <c r="V63" s="171">
        <v>44958</v>
      </c>
      <c r="W63" s="170">
        <v>44986</v>
      </c>
      <c r="X63" s="171"/>
      <c r="Y63" s="170">
        <v>45017</v>
      </c>
      <c r="Z63" s="171"/>
      <c r="AA63" s="170">
        <v>45047</v>
      </c>
      <c r="AB63" s="171"/>
      <c r="AC63" s="170">
        <v>45078</v>
      </c>
      <c r="AD63" s="171"/>
      <c r="AE63" s="170">
        <v>45087</v>
      </c>
      <c r="AF63" s="171"/>
      <c r="AG63" s="170">
        <v>45097</v>
      </c>
      <c r="AH63" s="171"/>
      <c r="AI63" s="170">
        <v>45108</v>
      </c>
      <c r="AJ63" s="171"/>
      <c r="AK63" s="170">
        <v>45117</v>
      </c>
      <c r="AL63" s="171"/>
      <c r="AM63" s="170">
        <v>45127</v>
      </c>
      <c r="AN63" s="171"/>
      <c r="AO63" s="170"/>
      <c r="AP63" s="171">
        <v>45139</v>
      </c>
      <c r="AQ63" s="170"/>
      <c r="AR63" s="171">
        <v>45148</v>
      </c>
      <c r="AS63" s="170"/>
      <c r="AT63" s="171">
        <v>45158</v>
      </c>
      <c r="AU63" s="170"/>
      <c r="AV63" s="171">
        <v>45170</v>
      </c>
      <c r="AW63" s="170"/>
      <c r="AX63" s="171">
        <v>45179</v>
      </c>
      <c r="AY63" s="170"/>
      <c r="AZ63" s="171">
        <v>45189</v>
      </c>
      <c r="BA63" s="170"/>
      <c r="BB63" s="171">
        <v>45200</v>
      </c>
      <c r="BC63" s="170"/>
      <c r="BD63" s="171">
        <v>45209</v>
      </c>
      <c r="BE63" s="170"/>
      <c r="BF63" s="171">
        <v>45219</v>
      </c>
      <c r="BG63" s="170"/>
      <c r="BH63" s="171">
        <v>45231</v>
      </c>
      <c r="BI63" s="170"/>
      <c r="BJ63" s="171">
        <v>45261</v>
      </c>
      <c r="BK63" s="172" t="s">
        <v>37</v>
      </c>
      <c r="BL63" s="173" t="s">
        <v>173</v>
      </c>
    </row>
    <row r="64" spans="1:64">
      <c r="A64" s="174" t="s">
        <v>124</v>
      </c>
      <c r="B64" s="175" t="s">
        <v>174</v>
      </c>
      <c r="C64" s="176" t="s">
        <v>175</v>
      </c>
      <c r="D64" s="177" t="s">
        <v>176</v>
      </c>
      <c r="E64" s="42"/>
      <c r="F64" s="42"/>
      <c r="G64" s="42"/>
      <c r="H64" s="42"/>
      <c r="I64" s="42"/>
      <c r="J64" s="42"/>
      <c r="K64" s="42"/>
      <c r="L64" s="43"/>
      <c r="M64" s="44"/>
      <c r="N64" s="44"/>
      <c r="O64" s="45"/>
      <c r="P64" s="178"/>
      <c r="Q64" s="178">
        <v>1.1000000000000001</v>
      </c>
      <c r="R64" s="178">
        <v>1.1000000000000001</v>
      </c>
      <c r="S64" s="179"/>
      <c r="T64" s="180"/>
      <c r="U64" s="179"/>
      <c r="V64" s="180"/>
      <c r="W64" s="179"/>
      <c r="X64" s="180"/>
      <c r="Y64" s="179"/>
      <c r="Z64" s="180"/>
      <c r="AA64" s="179"/>
      <c r="AB64" s="180"/>
      <c r="AC64" s="179"/>
      <c r="AD64" s="180"/>
      <c r="AE64" s="179"/>
      <c r="AF64" s="180"/>
      <c r="AG64" s="179"/>
      <c r="AH64" s="180"/>
      <c r="AI64" s="181">
        <v>1.1000000000000001</v>
      </c>
      <c r="AJ64" s="47">
        <v>1</v>
      </c>
      <c r="AK64" s="181">
        <v>1.1000000000000001</v>
      </c>
      <c r="AL64" s="47">
        <v>1</v>
      </c>
      <c r="AM64" s="181">
        <v>0.96567999999999998</v>
      </c>
      <c r="AN64" s="47">
        <v>0.87789090909090906</v>
      </c>
      <c r="AO64" s="181">
        <v>0.40253699999999998</v>
      </c>
      <c r="AP64" s="47">
        <v>0.3659427272727272</v>
      </c>
      <c r="AQ64" s="181">
        <v>0.40253699999999998</v>
      </c>
      <c r="AR64" s="47">
        <v>0.3659427272727272</v>
      </c>
      <c r="AS64" s="181">
        <v>0.24182600000000001</v>
      </c>
      <c r="AT64" s="47">
        <v>0.21984181818181817</v>
      </c>
      <c r="AU64" s="182">
        <v>0.24537900000000001</v>
      </c>
      <c r="AV64" s="47">
        <v>0.22307181818181818</v>
      </c>
      <c r="AW64" s="181">
        <v>0.34912700000000002</v>
      </c>
      <c r="AX64" s="47">
        <v>0.31738818181818179</v>
      </c>
      <c r="AY64" s="181">
        <v>0.44748900000000003</v>
      </c>
      <c r="AZ64" s="47">
        <v>0.40680818181818179</v>
      </c>
      <c r="BA64" s="181">
        <v>0.22062699999999999</v>
      </c>
      <c r="BB64" s="47">
        <v>0.20056999999999997</v>
      </c>
      <c r="BC64" s="181">
        <v>1.6868000000000001E-2</v>
      </c>
      <c r="BD64" s="47">
        <v>1.5334545454545455E-2</v>
      </c>
      <c r="BE64" s="183">
        <v>6.3705999999999999E-2</v>
      </c>
      <c r="BF64" s="47">
        <v>5.7914545454545448E-2</v>
      </c>
      <c r="BG64" s="181">
        <v>0</v>
      </c>
      <c r="BH64" s="47">
        <v>0</v>
      </c>
      <c r="BI64" s="179"/>
      <c r="BJ64" s="184"/>
      <c r="BK64" s="376" t="s">
        <v>177</v>
      </c>
      <c r="BL64" s="140" t="s">
        <v>178</v>
      </c>
    </row>
    <row r="65" spans="1:64" s="24" customFormat="1">
      <c r="A65" s="174" t="s">
        <v>120</v>
      </c>
      <c r="B65" s="186" t="s">
        <v>179</v>
      </c>
      <c r="C65" s="176">
        <v>37</v>
      </c>
      <c r="D65" s="177" t="s">
        <v>180</v>
      </c>
      <c r="E65" s="187">
        <v>33</v>
      </c>
      <c r="F65" s="188">
        <v>33</v>
      </c>
      <c r="G65" s="188">
        <v>33</v>
      </c>
      <c r="H65" s="188">
        <v>33</v>
      </c>
      <c r="I65" s="188">
        <v>8.9</v>
      </c>
      <c r="J65" s="188">
        <v>0</v>
      </c>
      <c r="K65" s="188">
        <v>33</v>
      </c>
      <c r="L65" s="189">
        <v>27.6</v>
      </c>
      <c r="M65" s="190">
        <v>26.4</v>
      </c>
      <c r="N65" s="190">
        <v>26.8</v>
      </c>
      <c r="O65" s="178">
        <v>33</v>
      </c>
      <c r="P65" s="178">
        <v>32.5</v>
      </c>
      <c r="Q65" s="178">
        <v>33</v>
      </c>
      <c r="R65" s="178">
        <v>32.954999999999998</v>
      </c>
      <c r="S65" s="179"/>
      <c r="T65" s="180"/>
      <c r="U65" s="179"/>
      <c r="V65" s="180"/>
      <c r="W65" s="179"/>
      <c r="X65" s="180"/>
      <c r="Y65" s="179"/>
      <c r="Z65" s="180"/>
      <c r="AA65" s="179"/>
      <c r="AB65" s="180"/>
      <c r="AC65" s="179"/>
      <c r="AD65" s="180"/>
      <c r="AE65" s="179"/>
      <c r="AF65" s="180"/>
      <c r="AG65" s="179"/>
      <c r="AH65" s="180"/>
      <c r="AI65" s="191">
        <v>0</v>
      </c>
      <c r="AJ65" s="192"/>
      <c r="AK65" s="191">
        <v>0</v>
      </c>
      <c r="AL65" s="192"/>
      <c r="AM65" s="191">
        <v>8.5000000000000006E-2</v>
      </c>
      <c r="AN65" s="192">
        <v>1</v>
      </c>
      <c r="AO65" s="191">
        <v>2.9590000000000001</v>
      </c>
      <c r="AP65" s="192">
        <v>0.93728222996515675</v>
      </c>
      <c r="AQ65" s="191">
        <v>3.9790000000000001</v>
      </c>
      <c r="AR65" s="192">
        <v>0.93381835249941325</v>
      </c>
      <c r="AS65" s="191">
        <v>6.9169999999999998</v>
      </c>
      <c r="AT65" s="192">
        <v>0.67456602301540858</v>
      </c>
      <c r="AU65" s="191">
        <v>8.4719999999999995</v>
      </c>
      <c r="AV65" s="192">
        <v>0.44573052033461352</v>
      </c>
      <c r="AW65" s="191">
        <v>10.027000000000001</v>
      </c>
      <c r="AX65" s="192">
        <v>0.40516405366090191</v>
      </c>
      <c r="AY65" s="191">
        <v>11.117000000000001</v>
      </c>
      <c r="AZ65" s="192">
        <v>0.33733879532696104</v>
      </c>
      <c r="BA65" s="191">
        <v>13.854999999999997</v>
      </c>
      <c r="BB65" s="192">
        <v>0.42042178728569252</v>
      </c>
      <c r="BC65" s="191">
        <v>10.917999999999999</v>
      </c>
      <c r="BD65" s="192">
        <v>0.33130025792747686</v>
      </c>
      <c r="BE65" s="191">
        <v>4.1789999999999985</v>
      </c>
      <c r="BF65" s="192">
        <v>0.126809285389167</v>
      </c>
      <c r="BG65" s="191">
        <v>1.2409999999999997</v>
      </c>
      <c r="BH65" s="193">
        <v>3.7657411621908658E-2</v>
      </c>
      <c r="BI65" s="179"/>
      <c r="BJ65" s="184"/>
      <c r="BK65" s="194" t="s">
        <v>181</v>
      </c>
      <c r="BL65" s="140" t="s">
        <v>182</v>
      </c>
    </row>
    <row r="66" spans="1:64" s="24" customFormat="1" ht="26">
      <c r="A66" s="195" t="s">
        <v>183</v>
      </c>
      <c r="B66" s="196" t="s">
        <v>184</v>
      </c>
      <c r="C66" s="197">
        <v>40</v>
      </c>
      <c r="D66" s="198" t="s">
        <v>185</v>
      </c>
      <c r="E66" s="199">
        <v>19</v>
      </c>
      <c r="F66" s="200">
        <v>34</v>
      </c>
      <c r="G66" s="200">
        <v>34</v>
      </c>
      <c r="H66" s="200">
        <v>34</v>
      </c>
      <c r="I66" s="200">
        <v>34</v>
      </c>
      <c r="J66" s="200">
        <v>34</v>
      </c>
      <c r="K66" s="200">
        <v>34</v>
      </c>
      <c r="L66" s="201">
        <v>34</v>
      </c>
      <c r="M66" s="202">
        <v>34</v>
      </c>
      <c r="N66" s="202">
        <v>20</v>
      </c>
      <c r="O66" s="203">
        <v>20</v>
      </c>
      <c r="P66" s="178">
        <v>22.5</v>
      </c>
      <c r="Q66" s="203">
        <v>22.5</v>
      </c>
      <c r="R66" s="203">
        <v>22.5</v>
      </c>
      <c r="S66" s="179"/>
      <c r="T66" s="180"/>
      <c r="U66" s="179"/>
      <c r="V66" s="180"/>
      <c r="W66" s="179"/>
      <c r="X66" s="180"/>
      <c r="Y66" s="179"/>
      <c r="Z66" s="180"/>
      <c r="AA66" s="179"/>
      <c r="AB66" s="180"/>
      <c r="AC66" s="179"/>
      <c r="AD66" s="180"/>
      <c r="AE66" s="179"/>
      <c r="AF66" s="180"/>
      <c r="AG66" s="179"/>
      <c r="AH66" s="180"/>
      <c r="AI66" s="178">
        <v>22.5</v>
      </c>
      <c r="AJ66" s="204">
        <v>1</v>
      </c>
      <c r="AK66" s="178">
        <v>22.5</v>
      </c>
      <c r="AL66" s="204">
        <v>1</v>
      </c>
      <c r="AM66" s="181">
        <v>20.8536</v>
      </c>
      <c r="AN66" s="204">
        <v>0.92682666666666669</v>
      </c>
      <c r="AO66" s="181">
        <v>20.5944</v>
      </c>
      <c r="AP66" s="204">
        <v>0.91530666666666671</v>
      </c>
      <c r="AQ66" s="181">
        <v>13.793279999999999</v>
      </c>
      <c r="AR66" s="204">
        <v>0.61303466666666662</v>
      </c>
      <c r="AS66" s="181">
        <v>8.8303399999999996</v>
      </c>
      <c r="AT66" s="204">
        <v>0.39245955555555556</v>
      </c>
      <c r="AU66" s="181">
        <v>5.6158999999999999</v>
      </c>
      <c r="AV66" s="204">
        <v>0.24959555555555554</v>
      </c>
      <c r="AW66" s="181">
        <v>4.3916199999999996</v>
      </c>
      <c r="AX66" s="204">
        <v>0.19518311111111109</v>
      </c>
      <c r="AY66" s="181">
        <v>4.0268600000000001</v>
      </c>
      <c r="AZ66" s="204">
        <v>0.17897155555555555</v>
      </c>
      <c r="BA66" s="181">
        <v>4.0268600000000001</v>
      </c>
      <c r="BB66" s="204">
        <v>0.17897155555555555</v>
      </c>
      <c r="BC66" s="181">
        <v>3.9536899999999999</v>
      </c>
      <c r="BD66" s="204">
        <v>0.17571955555555555</v>
      </c>
      <c r="BE66" s="181">
        <v>2.45933</v>
      </c>
      <c r="BF66" s="204">
        <v>0.10930355555555556</v>
      </c>
      <c r="BG66" s="181">
        <v>2.45933</v>
      </c>
      <c r="BH66" s="204">
        <v>0.10930355555555556</v>
      </c>
      <c r="BI66" s="205"/>
      <c r="BJ66" s="206"/>
      <c r="BK66" s="377" t="s">
        <v>177</v>
      </c>
      <c r="BL66" s="208" t="s">
        <v>186</v>
      </c>
    </row>
    <row r="67" spans="1:64" s="24" customFormat="1">
      <c r="A67" s="195" t="s">
        <v>187</v>
      </c>
      <c r="B67" s="196" t="s">
        <v>188</v>
      </c>
      <c r="C67" s="197">
        <v>60</v>
      </c>
      <c r="D67" s="209" t="s">
        <v>189</v>
      </c>
      <c r="E67" s="199"/>
      <c r="F67" s="200"/>
      <c r="G67" s="200"/>
      <c r="H67" s="200"/>
      <c r="I67" s="200"/>
      <c r="J67" s="200"/>
      <c r="K67" s="200"/>
      <c r="L67" s="201"/>
      <c r="M67" s="202">
        <v>5</v>
      </c>
      <c r="N67" s="202">
        <v>5</v>
      </c>
      <c r="O67" s="203">
        <v>5</v>
      </c>
      <c r="P67" s="203">
        <v>5</v>
      </c>
      <c r="Q67" s="203">
        <v>5</v>
      </c>
      <c r="R67" s="203">
        <v>5</v>
      </c>
      <c r="S67" s="179"/>
      <c r="T67" s="180"/>
      <c r="U67" s="179"/>
      <c r="V67" s="180"/>
      <c r="W67" s="179"/>
      <c r="X67" s="180"/>
      <c r="Y67" s="179"/>
      <c r="Z67" s="180"/>
      <c r="AA67" s="179"/>
      <c r="AB67" s="180"/>
      <c r="AC67" s="179"/>
      <c r="AD67" s="180"/>
      <c r="AE67" s="179"/>
      <c r="AF67" s="180"/>
      <c r="AG67" s="179"/>
      <c r="AH67" s="180"/>
      <c r="AI67" s="178">
        <v>5</v>
      </c>
      <c r="AJ67" s="204">
        <v>1</v>
      </c>
      <c r="AK67" s="181">
        <v>5</v>
      </c>
      <c r="AL67" s="204">
        <v>1</v>
      </c>
      <c r="AM67" s="181">
        <v>5</v>
      </c>
      <c r="AN67" s="204">
        <v>1</v>
      </c>
      <c r="AO67" s="181">
        <v>5</v>
      </c>
      <c r="AP67" s="204">
        <v>1</v>
      </c>
      <c r="AQ67" s="181">
        <v>4.4455999999999998</v>
      </c>
      <c r="AR67" s="204">
        <v>0.88911999999999991</v>
      </c>
      <c r="AS67" s="181">
        <v>3.7314500000000002</v>
      </c>
      <c r="AT67" s="204">
        <v>0.74629000000000001</v>
      </c>
      <c r="AU67" s="181">
        <v>2.1546500000000002</v>
      </c>
      <c r="AV67" s="204">
        <v>0.43093000000000004</v>
      </c>
      <c r="AW67" s="181">
        <v>1.6709000000000001</v>
      </c>
      <c r="AX67" s="204">
        <v>0.33418000000000003</v>
      </c>
      <c r="AY67" s="181">
        <v>1.46336</v>
      </c>
      <c r="AZ67" s="204">
        <v>0.29267199999999999</v>
      </c>
      <c r="BA67" s="181">
        <v>1.46336</v>
      </c>
      <c r="BB67" s="204">
        <v>0.29267199999999999</v>
      </c>
      <c r="BC67" s="181">
        <v>1.35311</v>
      </c>
      <c r="BD67" s="204">
        <v>0.27062200000000003</v>
      </c>
      <c r="BE67" s="181">
        <v>0.81810000000000005</v>
      </c>
      <c r="BF67" s="204">
        <v>0.16362000000000002</v>
      </c>
      <c r="BG67" s="181">
        <v>0.85</v>
      </c>
      <c r="BH67" s="204">
        <v>0.16999999999999998</v>
      </c>
      <c r="BI67" s="205"/>
      <c r="BJ67" s="206"/>
      <c r="BK67" s="377" t="s">
        <v>177</v>
      </c>
      <c r="BL67" s="140" t="s">
        <v>190</v>
      </c>
    </row>
    <row r="68" spans="1:64" s="221" customFormat="1">
      <c r="A68" s="195" t="s">
        <v>39</v>
      </c>
      <c r="B68" s="196" t="s">
        <v>191</v>
      </c>
      <c r="C68" s="197">
        <v>61</v>
      </c>
      <c r="D68" s="198" t="s">
        <v>192</v>
      </c>
      <c r="E68" s="199"/>
      <c r="F68" s="200"/>
      <c r="G68" s="200"/>
      <c r="H68" s="200"/>
      <c r="I68" s="200"/>
      <c r="J68" s="200"/>
      <c r="K68" s="200"/>
      <c r="L68" s="201"/>
      <c r="M68" s="202"/>
      <c r="N68" s="202"/>
      <c r="O68" s="203"/>
      <c r="P68" s="203"/>
      <c r="Q68" s="210">
        <v>2.6</v>
      </c>
      <c r="R68" s="210">
        <v>2.8</v>
      </c>
      <c r="S68" s="179"/>
      <c r="T68" s="180"/>
      <c r="U68" s="179"/>
      <c r="V68" s="180"/>
      <c r="W68" s="179"/>
      <c r="X68" s="180"/>
      <c r="Y68" s="179"/>
      <c r="Z68" s="180"/>
      <c r="AA68" s="179"/>
      <c r="AB68" s="180"/>
      <c r="AC68" s="179"/>
      <c r="AD68" s="180"/>
      <c r="AE68" s="211"/>
      <c r="AF68" s="212"/>
      <c r="AG68" s="211"/>
      <c r="AH68" s="212"/>
      <c r="AI68" s="211"/>
      <c r="AJ68" s="212"/>
      <c r="AK68" s="213"/>
      <c r="AL68" s="212"/>
      <c r="AM68" s="182">
        <v>2.8</v>
      </c>
      <c r="AN68" s="214">
        <v>1</v>
      </c>
      <c r="AO68" s="182">
        <v>2.8</v>
      </c>
      <c r="AP68" s="214">
        <v>1</v>
      </c>
      <c r="AQ68" s="182">
        <v>2.5407999999999999</v>
      </c>
      <c r="AR68" s="214">
        <v>0.90742857142857147</v>
      </c>
      <c r="AS68" s="182">
        <v>1.4608000000000001</v>
      </c>
      <c r="AT68" s="214">
        <v>0.5217142857142858</v>
      </c>
      <c r="AU68" s="181">
        <v>0.64405000000000001</v>
      </c>
      <c r="AV68" s="214">
        <v>0.23001785714285716</v>
      </c>
      <c r="AW68" s="181">
        <v>0.64405000000000001</v>
      </c>
      <c r="AX68" s="214">
        <v>0.23001785714285716</v>
      </c>
      <c r="AY68" s="182">
        <v>0.64405000000000001</v>
      </c>
      <c r="AZ68" s="214">
        <v>0.23001785714285716</v>
      </c>
      <c r="BA68" s="215"/>
      <c r="BB68" s="216"/>
      <c r="BC68" s="217"/>
      <c r="BD68" s="216"/>
      <c r="BE68" s="215"/>
      <c r="BF68" s="216"/>
      <c r="BG68" s="215"/>
      <c r="BH68" s="216"/>
      <c r="BI68" s="215"/>
      <c r="BJ68" s="218"/>
      <c r="BK68" s="378" t="s">
        <v>193</v>
      </c>
      <c r="BL68" s="220" t="s">
        <v>194</v>
      </c>
    </row>
    <row r="69" spans="1:64" s="24" customFormat="1" ht="72" customHeight="1">
      <c r="A69" s="222" t="s">
        <v>195</v>
      </c>
      <c r="B69" s="196" t="s">
        <v>196</v>
      </c>
      <c r="C69" s="197">
        <v>36</v>
      </c>
      <c r="D69" s="198" t="s">
        <v>98</v>
      </c>
      <c r="E69" s="199"/>
      <c r="F69" s="200">
        <v>48</v>
      </c>
      <c r="G69" s="200">
        <v>48</v>
      </c>
      <c r="H69" s="200">
        <v>48</v>
      </c>
      <c r="I69" s="200">
        <v>48</v>
      </c>
      <c r="J69" s="200">
        <v>48</v>
      </c>
      <c r="K69" s="200">
        <v>48</v>
      </c>
      <c r="L69" s="201">
        <v>48</v>
      </c>
      <c r="M69" s="202">
        <v>48</v>
      </c>
      <c r="N69" s="202">
        <v>48</v>
      </c>
      <c r="O69" s="203">
        <v>48</v>
      </c>
      <c r="P69" s="203">
        <v>48</v>
      </c>
      <c r="Q69" s="203">
        <v>48</v>
      </c>
      <c r="R69" s="203">
        <v>48</v>
      </c>
      <c r="S69" s="181">
        <v>8.9049999999999994</v>
      </c>
      <c r="T69" s="204">
        <v>0.89049999999999996</v>
      </c>
      <c r="U69" s="181">
        <v>6.1</v>
      </c>
      <c r="V69" s="204">
        <v>1.22</v>
      </c>
      <c r="W69" s="213"/>
      <c r="X69" s="212"/>
      <c r="Y69" s="179"/>
      <c r="Z69" s="180"/>
      <c r="AA69" s="179"/>
      <c r="AB69" s="180"/>
      <c r="AC69" s="181">
        <v>48</v>
      </c>
      <c r="AD69" s="204">
        <v>1</v>
      </c>
      <c r="AE69" s="181">
        <v>48</v>
      </c>
      <c r="AF69" s="204">
        <v>1</v>
      </c>
      <c r="AG69" s="181">
        <v>48</v>
      </c>
      <c r="AH69" s="204">
        <v>1</v>
      </c>
      <c r="AI69" s="181">
        <v>48</v>
      </c>
      <c r="AJ69" s="204">
        <v>1</v>
      </c>
      <c r="AK69" s="181">
        <v>47.698</v>
      </c>
      <c r="AL69" s="204">
        <v>0.9937083333333333</v>
      </c>
      <c r="AM69" s="181">
        <v>44.243000000000002</v>
      </c>
      <c r="AN69" s="204">
        <v>0.92172916666666671</v>
      </c>
      <c r="AO69" s="181">
        <v>39.704999999999998</v>
      </c>
      <c r="AP69" s="204">
        <v>0.82718749999999996</v>
      </c>
      <c r="AQ69" s="181">
        <v>34.372</v>
      </c>
      <c r="AR69" s="204">
        <v>0.71608333333333329</v>
      </c>
      <c r="AS69" s="181">
        <v>27.966999999999999</v>
      </c>
      <c r="AT69" s="204">
        <v>0.58264583333333331</v>
      </c>
      <c r="AU69" s="181">
        <v>23.913</v>
      </c>
      <c r="AV69" s="204">
        <v>0.49818750000000001</v>
      </c>
      <c r="AW69" s="181">
        <v>23.286999999999999</v>
      </c>
      <c r="AX69" s="204">
        <v>0.48514583333333333</v>
      </c>
      <c r="AY69" s="181">
        <v>21.89</v>
      </c>
      <c r="AZ69" s="204">
        <v>0.45604166666666668</v>
      </c>
      <c r="BA69" s="181">
        <v>19.815999999999999</v>
      </c>
      <c r="BB69" s="204">
        <v>0.41283333333333333</v>
      </c>
      <c r="BC69" s="181">
        <v>17.094000000000001</v>
      </c>
      <c r="BD69" s="204">
        <v>0.35612500000000002</v>
      </c>
      <c r="BE69" s="181">
        <v>13.89</v>
      </c>
      <c r="BF69" s="204">
        <v>0.28937499999999999</v>
      </c>
      <c r="BG69" s="181">
        <v>13.89</v>
      </c>
      <c r="BH69" s="204">
        <v>0.28937499999999999</v>
      </c>
      <c r="BI69" s="181">
        <v>13.89</v>
      </c>
      <c r="BJ69" s="223">
        <v>0.28937499999999999</v>
      </c>
      <c r="BK69" s="377" t="s">
        <v>42</v>
      </c>
      <c r="BL69" s="208" t="s">
        <v>197</v>
      </c>
    </row>
    <row r="70" spans="1:64" s="24" customFormat="1">
      <c r="A70" s="195" t="s">
        <v>72</v>
      </c>
      <c r="B70" s="196" t="s">
        <v>198</v>
      </c>
      <c r="C70" s="197">
        <v>41</v>
      </c>
      <c r="D70" s="209" t="s">
        <v>199</v>
      </c>
      <c r="E70" s="199">
        <v>46</v>
      </c>
      <c r="F70" s="200">
        <v>46</v>
      </c>
      <c r="G70" s="200">
        <v>46</v>
      </c>
      <c r="H70" s="200">
        <v>46</v>
      </c>
      <c r="I70" s="200">
        <v>46</v>
      </c>
      <c r="J70" s="200">
        <v>46</v>
      </c>
      <c r="K70" s="200">
        <v>46</v>
      </c>
      <c r="L70" s="201">
        <v>46</v>
      </c>
      <c r="M70" s="202">
        <v>46</v>
      </c>
      <c r="N70" s="202">
        <v>46</v>
      </c>
      <c r="O70" s="203">
        <v>46</v>
      </c>
      <c r="P70" s="203">
        <v>42</v>
      </c>
      <c r="Q70" s="203">
        <v>53</v>
      </c>
      <c r="R70" s="203">
        <v>53</v>
      </c>
      <c r="S70" s="179"/>
      <c r="T70" s="180"/>
      <c r="U70" s="179"/>
      <c r="V70" s="180"/>
      <c r="W70" s="179"/>
      <c r="X70" s="180"/>
      <c r="Y70" s="179"/>
      <c r="Z70" s="180"/>
      <c r="AA70" s="179"/>
      <c r="AB70" s="180"/>
      <c r="AC70" s="179"/>
      <c r="AD70" s="180"/>
      <c r="AE70" s="179"/>
      <c r="AF70" s="180"/>
      <c r="AG70" s="179"/>
      <c r="AH70" s="180"/>
      <c r="AI70" s="178">
        <v>53</v>
      </c>
      <c r="AJ70" s="204">
        <v>1</v>
      </c>
      <c r="AK70" s="178">
        <v>53</v>
      </c>
      <c r="AL70" s="204">
        <v>1</v>
      </c>
      <c r="AM70" s="178">
        <v>53</v>
      </c>
      <c r="AN70" s="204">
        <v>1</v>
      </c>
      <c r="AO70" s="181">
        <v>49.234000000000002</v>
      </c>
      <c r="AP70" s="204">
        <v>0.92894339622641509</v>
      </c>
      <c r="AQ70" s="181">
        <v>49.234000000000002</v>
      </c>
      <c r="AR70" s="204">
        <v>0.92894339622641509</v>
      </c>
      <c r="AS70" s="181">
        <v>34.373199999999997</v>
      </c>
      <c r="AT70" s="204">
        <v>0.64855094339622632</v>
      </c>
      <c r="AU70" s="181">
        <v>27.030063999999999</v>
      </c>
      <c r="AV70" s="204">
        <v>0.51000120754716982</v>
      </c>
      <c r="AW70" s="181">
        <v>22.4284</v>
      </c>
      <c r="AX70" s="204">
        <v>0.42317735849056604</v>
      </c>
      <c r="AY70" s="181">
        <v>18.912189999999999</v>
      </c>
      <c r="AZ70" s="204">
        <v>0.35683377358490564</v>
      </c>
      <c r="BA70" s="181">
        <v>12.62227</v>
      </c>
      <c r="BB70" s="204">
        <v>0.23815603773584906</v>
      </c>
      <c r="BC70" s="181">
        <v>9.45139</v>
      </c>
      <c r="BD70" s="204">
        <v>0.17832811320754716</v>
      </c>
      <c r="BE70" s="181">
        <v>5.7156700000000003</v>
      </c>
      <c r="BF70" s="204">
        <v>0.10784283018867925</v>
      </c>
      <c r="BG70" s="181">
        <v>5.7156700000000003</v>
      </c>
      <c r="BH70" s="204">
        <v>0.10784283018867925</v>
      </c>
      <c r="BI70" s="205"/>
      <c r="BJ70" s="206"/>
      <c r="BK70" s="194" t="s">
        <v>200</v>
      </c>
      <c r="BL70" s="208" t="s">
        <v>201</v>
      </c>
    </row>
    <row r="71" spans="1:64" s="24" customFormat="1" ht="13.5" thickBot="1">
      <c r="A71" s="224" t="s">
        <v>72</v>
      </c>
      <c r="B71" s="225" t="s">
        <v>202</v>
      </c>
      <c r="C71" s="226">
        <v>45</v>
      </c>
      <c r="D71" s="227" t="s">
        <v>203</v>
      </c>
      <c r="E71" s="228"/>
      <c r="F71" s="229">
        <v>5</v>
      </c>
      <c r="G71" s="229">
        <v>5</v>
      </c>
      <c r="H71" s="229">
        <v>5</v>
      </c>
      <c r="I71" s="229">
        <v>5</v>
      </c>
      <c r="J71" s="229">
        <v>5</v>
      </c>
      <c r="K71" s="229">
        <v>5</v>
      </c>
      <c r="L71" s="230">
        <v>5</v>
      </c>
      <c r="M71" s="231">
        <v>5</v>
      </c>
      <c r="N71" s="231">
        <v>5</v>
      </c>
      <c r="O71" s="232">
        <v>5</v>
      </c>
      <c r="P71" s="203">
        <v>11</v>
      </c>
      <c r="Q71" s="232">
        <v>8.39</v>
      </c>
      <c r="R71" s="232">
        <v>8.39</v>
      </c>
      <c r="S71" s="179"/>
      <c r="T71" s="180"/>
      <c r="U71" s="179"/>
      <c r="V71" s="180"/>
      <c r="W71" s="179"/>
      <c r="X71" s="180"/>
      <c r="Y71" s="179"/>
      <c r="Z71" s="180"/>
      <c r="AA71" s="179"/>
      <c r="AB71" s="180"/>
      <c r="AC71" s="179"/>
      <c r="AD71" s="180"/>
      <c r="AE71" s="179"/>
      <c r="AF71" s="180"/>
      <c r="AG71" s="179"/>
      <c r="AH71" s="180"/>
      <c r="AI71" s="211"/>
      <c r="AJ71" s="212"/>
      <c r="AK71" s="233"/>
      <c r="AL71" s="212"/>
      <c r="AM71" s="233"/>
      <c r="AN71" s="212"/>
      <c r="AO71" s="233"/>
      <c r="AP71" s="212"/>
      <c r="AQ71" s="233"/>
      <c r="AR71" s="212"/>
      <c r="AS71" s="233"/>
      <c r="AT71" s="212"/>
      <c r="AU71" s="234">
        <v>8.39</v>
      </c>
      <c r="AV71" s="204">
        <v>1</v>
      </c>
      <c r="AW71" s="234">
        <v>7.90184</v>
      </c>
      <c r="AX71" s="204">
        <v>0.94181644815256249</v>
      </c>
      <c r="AY71" s="234">
        <v>7.90184</v>
      </c>
      <c r="AZ71" s="204">
        <v>0.94181644815256249</v>
      </c>
      <c r="BA71" s="234">
        <v>5.6554399999999996</v>
      </c>
      <c r="BB71" s="204">
        <v>0.6740691299165672</v>
      </c>
      <c r="BC71" s="234">
        <v>3.7114400000000001</v>
      </c>
      <c r="BD71" s="204">
        <v>0.44236471990464837</v>
      </c>
      <c r="BE71" s="234">
        <v>2.1549800000000001</v>
      </c>
      <c r="BF71" s="204">
        <v>0.25685101311084624</v>
      </c>
      <c r="BG71" s="234">
        <v>2.1549800000000001</v>
      </c>
      <c r="BH71" s="204">
        <v>0.25685101311084624</v>
      </c>
      <c r="BI71" s="235"/>
      <c r="BJ71" s="236"/>
      <c r="BK71" s="237" t="s">
        <v>200</v>
      </c>
      <c r="BL71" s="238" t="s">
        <v>204</v>
      </c>
    </row>
    <row r="72" spans="1:64" s="24" customFormat="1" ht="9" customHeight="1" thickBot="1">
      <c r="A72" s="239"/>
      <c r="B72" s="240"/>
      <c r="C72" s="240"/>
      <c r="D72" s="241"/>
      <c r="E72" s="242"/>
      <c r="F72" s="243"/>
      <c r="G72" s="243"/>
      <c r="H72" s="243"/>
      <c r="I72" s="243"/>
      <c r="J72" s="243"/>
      <c r="K72" s="243"/>
      <c r="L72" s="244"/>
      <c r="M72" s="245"/>
      <c r="N72" s="245"/>
      <c r="O72" s="245"/>
      <c r="P72" s="245"/>
      <c r="Q72" s="245"/>
      <c r="R72" s="245"/>
      <c r="S72" s="246"/>
      <c r="T72" s="247"/>
      <c r="U72" s="246"/>
      <c r="V72" s="247"/>
      <c r="W72" s="246"/>
      <c r="X72" s="247"/>
      <c r="Y72" s="246"/>
      <c r="Z72" s="247"/>
      <c r="AA72" s="246"/>
      <c r="AB72" s="247"/>
      <c r="AC72" s="246"/>
      <c r="AD72" s="247"/>
      <c r="AE72" s="246"/>
      <c r="AF72" s="247"/>
      <c r="AG72" s="246"/>
      <c r="AH72" s="247"/>
      <c r="AI72" s="246"/>
      <c r="AJ72" s="247"/>
      <c r="AK72" s="246"/>
      <c r="AL72" s="247"/>
      <c r="AM72" s="246"/>
      <c r="AN72" s="247"/>
      <c r="AO72" s="246"/>
      <c r="AP72" s="247"/>
      <c r="AQ72" s="246"/>
      <c r="AR72" s="247"/>
      <c r="AS72" s="246"/>
      <c r="AT72" s="247"/>
      <c r="AU72" s="246"/>
      <c r="AV72" s="247"/>
      <c r="AW72" s="246"/>
      <c r="AX72" s="247"/>
      <c r="AY72" s="246"/>
      <c r="AZ72" s="247"/>
      <c r="BA72" s="246"/>
      <c r="BB72" s="247"/>
      <c r="BC72" s="246"/>
      <c r="BD72" s="247"/>
      <c r="BE72" s="246"/>
      <c r="BF72" s="247"/>
      <c r="BG72" s="246"/>
      <c r="BH72" s="247"/>
      <c r="BI72" s="246"/>
      <c r="BJ72" s="247"/>
      <c r="BK72" s="248"/>
      <c r="BL72" s="249"/>
    </row>
    <row r="73" spans="1:64" s="257" customFormat="1" ht="13.5" thickBot="1">
      <c r="A73" s="411" t="s">
        <v>205</v>
      </c>
      <c r="B73" s="411"/>
      <c r="C73" s="250"/>
      <c r="D73" s="251"/>
      <c r="E73" s="252">
        <v>98</v>
      </c>
      <c r="F73" s="252">
        <v>166</v>
      </c>
      <c r="G73" s="252">
        <v>166</v>
      </c>
      <c r="H73" s="252">
        <v>166</v>
      </c>
      <c r="I73" s="252">
        <v>141.9</v>
      </c>
      <c r="J73" s="252">
        <v>133</v>
      </c>
      <c r="K73" s="252">
        <v>166</v>
      </c>
      <c r="L73" s="252">
        <v>160.6</v>
      </c>
      <c r="M73" s="253">
        <v>164.4</v>
      </c>
      <c r="N73" s="253">
        <v>150.80000000000001</v>
      </c>
      <c r="O73" s="253">
        <v>157</v>
      </c>
      <c r="P73" s="253">
        <v>161</v>
      </c>
      <c r="Q73" s="253">
        <v>173.58999999999997</v>
      </c>
      <c r="R73" s="253">
        <v>173.745</v>
      </c>
      <c r="S73" s="254"/>
      <c r="T73" s="255"/>
      <c r="U73" s="254"/>
      <c r="V73" s="255"/>
      <c r="W73" s="254"/>
      <c r="X73" s="255"/>
      <c r="Y73" s="254"/>
      <c r="Z73" s="255"/>
      <c r="AA73" s="254"/>
      <c r="AB73" s="255"/>
      <c r="AC73" s="253">
        <v>48</v>
      </c>
      <c r="AD73" s="256">
        <v>1</v>
      </c>
      <c r="AE73" s="253">
        <v>48</v>
      </c>
      <c r="AF73" s="256">
        <v>1</v>
      </c>
      <c r="AG73" s="253">
        <v>48</v>
      </c>
      <c r="AH73" s="256">
        <v>1</v>
      </c>
      <c r="AI73" s="253">
        <v>129.6</v>
      </c>
      <c r="AJ73" s="256">
        <v>0.99999999999999978</v>
      </c>
      <c r="AK73" s="253">
        <v>129.298</v>
      </c>
      <c r="AL73" s="256">
        <v>0.99766975308641959</v>
      </c>
      <c r="AM73" s="253">
        <v>126.94728000000001</v>
      </c>
      <c r="AN73" s="256">
        <v>0.95820115484771839</v>
      </c>
      <c r="AO73" s="253">
        <v>120.69493700000001</v>
      </c>
      <c r="AP73" s="256">
        <v>0.89036299859099843</v>
      </c>
      <c r="AQ73" s="253">
        <v>108.76721699999999</v>
      </c>
      <c r="AR73" s="256">
        <v>0.79589068571135846</v>
      </c>
      <c r="AS73" s="253">
        <v>83.521615999999995</v>
      </c>
      <c r="AT73" s="256">
        <v>0.58548387006322977</v>
      </c>
      <c r="AU73" s="253">
        <v>76.465042999999994</v>
      </c>
      <c r="AV73" s="256">
        <v>0.48281310694937291</v>
      </c>
      <c r="AW73" s="253">
        <v>70.699937000000006</v>
      </c>
      <c r="AX73" s="256">
        <v>0.42709188826734645</v>
      </c>
      <c r="AY73" s="253">
        <v>66.402789000000013</v>
      </c>
      <c r="AZ73" s="256">
        <v>0.39186321361549453</v>
      </c>
      <c r="BA73" s="253">
        <v>57.659556999999992</v>
      </c>
      <c r="BB73" s="256">
        <v>0.33729887975664685</v>
      </c>
      <c r="BC73" s="253">
        <v>46.498498000000005</v>
      </c>
      <c r="BD73" s="256">
        <v>0.27200852905905415</v>
      </c>
      <c r="BE73" s="253">
        <v>29.280785999999999</v>
      </c>
      <c r="BF73" s="256">
        <v>0.17128775922080203</v>
      </c>
      <c r="BG73" s="253">
        <v>26.310980000000001</v>
      </c>
      <c r="BH73" s="256">
        <v>0.15143445854556967</v>
      </c>
      <c r="BI73" s="254"/>
      <c r="BJ73" s="255"/>
      <c r="BL73" s="258"/>
    </row>
    <row r="74" spans="1:64">
      <c r="AO74" s="50"/>
    </row>
    <row r="75" spans="1:64" ht="89.25" customHeight="1">
      <c r="A75" s="425" t="s">
        <v>338</v>
      </c>
      <c r="B75" s="425"/>
      <c r="C75" s="425"/>
      <c r="D75" s="425"/>
      <c r="AI75" s="160">
        <v>0</v>
      </c>
      <c r="AJ75" s="160"/>
      <c r="AK75" s="160">
        <v>0.3019999999999925</v>
      </c>
      <c r="AL75" s="160"/>
      <c r="AM75" s="160">
        <v>2.652719999999988</v>
      </c>
      <c r="AN75" s="160"/>
      <c r="AO75" s="159">
        <v>8.9050629999999842</v>
      </c>
      <c r="AP75" s="160"/>
      <c r="AQ75" s="160">
        <v>20.832783000000006</v>
      </c>
      <c r="AR75" s="160"/>
      <c r="AS75" s="160">
        <v>46.078384</v>
      </c>
      <c r="AT75" s="160"/>
      <c r="AU75" s="160">
        <v>53.134957</v>
      </c>
      <c r="AV75" s="160"/>
      <c r="AW75" s="160">
        <v>58.900062999999989</v>
      </c>
      <c r="AX75" s="160"/>
      <c r="AY75" s="160">
        <v>63.197210999999982</v>
      </c>
      <c r="AZ75" s="160"/>
      <c r="BA75" s="159">
        <v>71.940443000000002</v>
      </c>
      <c r="BB75" s="160"/>
      <c r="BC75" s="160">
        <v>83.101501999999982</v>
      </c>
      <c r="BD75" s="160"/>
      <c r="BE75" s="160">
        <v>100.31921399999999</v>
      </c>
      <c r="BF75" s="160"/>
      <c r="BG75" s="160">
        <v>103.28901999999999</v>
      </c>
      <c r="BH75" s="160"/>
      <c r="BI75" s="160">
        <v>129.6</v>
      </c>
      <c r="BK75" s="154" t="s">
        <v>207</v>
      </c>
    </row>
    <row r="76" spans="1:64">
      <c r="AK76" s="159"/>
      <c r="AL76" s="159"/>
      <c r="AM76" s="159"/>
      <c r="AN76" s="159"/>
      <c r="AO76" s="159">
        <v>8.9050629999999842</v>
      </c>
      <c r="AP76" s="159"/>
      <c r="AQ76" s="159"/>
      <c r="AR76" s="159"/>
      <c r="AS76" s="159"/>
      <c r="AT76" s="159"/>
      <c r="AU76" s="159">
        <v>44.229894000000016</v>
      </c>
      <c r="AV76" s="159"/>
      <c r="AW76" s="159"/>
      <c r="AX76" s="159"/>
      <c r="AY76" s="159"/>
      <c r="AZ76" s="159"/>
      <c r="BA76" s="159">
        <v>18.805486000000002</v>
      </c>
      <c r="BB76" s="159"/>
      <c r="BC76" s="159"/>
      <c r="BD76" s="159"/>
      <c r="BE76" s="159"/>
      <c r="BF76" s="159"/>
      <c r="BG76" s="159">
        <v>31.348576999999992</v>
      </c>
      <c r="BH76" s="159"/>
      <c r="BK76" s="154" t="s">
        <v>158</v>
      </c>
    </row>
    <row r="77" spans="1:64">
      <c r="AW77" s="259"/>
    </row>
    <row r="78" spans="1:64">
      <c r="BK78" s="260"/>
    </row>
    <row r="122" spans="64:64">
      <c r="BL122" s="12" t="s">
        <v>208</v>
      </c>
    </row>
  </sheetData>
  <mergeCells count="7">
    <mergeCell ref="A75:D75"/>
    <mergeCell ref="A73:B73"/>
    <mergeCell ref="A14:B14"/>
    <mergeCell ref="A31:B31"/>
    <mergeCell ref="A43:B43"/>
    <mergeCell ref="A58:B58"/>
    <mergeCell ref="A60:B6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6"/>
  <sheetViews>
    <sheetView zoomScaleNormal="100" workbookViewId="0">
      <selection activeCell="D18" sqref="D18"/>
    </sheetView>
  </sheetViews>
  <sheetFormatPr baseColWidth="10" defaultColWidth="13.7265625" defaultRowHeight="12.5"/>
  <cols>
    <col min="1" max="1" width="30.453125" customWidth="1"/>
    <col min="2" max="2" width="9.26953125" style="9" customWidth="1"/>
  </cols>
  <sheetData>
    <row r="1" spans="1:4" ht="13">
      <c r="A1" s="14" t="s">
        <v>20</v>
      </c>
      <c r="B1" s="14" t="s">
        <v>21</v>
      </c>
      <c r="C1" t="s">
        <v>278</v>
      </c>
      <c r="D1" t="s">
        <v>279</v>
      </c>
    </row>
    <row r="2" spans="1:4">
      <c r="A2" s="26" t="s">
        <v>40</v>
      </c>
      <c r="B2" s="27">
        <v>16</v>
      </c>
      <c r="C2" t="s">
        <v>280</v>
      </c>
    </row>
    <row r="3" spans="1:4">
      <c r="A3" s="38" t="s">
        <v>99</v>
      </c>
      <c r="B3" s="39">
        <v>28</v>
      </c>
      <c r="C3" t="s">
        <v>281</v>
      </c>
    </row>
    <row r="4" spans="1:4">
      <c r="A4" s="38" t="s">
        <v>43</v>
      </c>
      <c r="B4" s="39">
        <v>22</v>
      </c>
      <c r="C4" t="s">
        <v>282</v>
      </c>
    </row>
    <row r="5" spans="1:4">
      <c r="A5" s="38" t="s">
        <v>45</v>
      </c>
      <c r="B5" s="39">
        <v>19</v>
      </c>
      <c r="C5" t="s">
        <v>283</v>
      </c>
    </row>
    <row r="6" spans="1:4">
      <c r="A6" s="38" t="s">
        <v>73</v>
      </c>
      <c r="B6" s="39">
        <v>9</v>
      </c>
      <c r="C6" t="s">
        <v>284</v>
      </c>
    </row>
    <row r="7" spans="1:4">
      <c r="A7" s="38" t="s">
        <v>125</v>
      </c>
      <c r="B7" s="39">
        <v>10</v>
      </c>
      <c r="C7" t="s">
        <v>285</v>
      </c>
    </row>
    <row r="8" spans="1:4">
      <c r="A8" s="38" t="s">
        <v>107</v>
      </c>
      <c r="B8" s="39">
        <v>32</v>
      </c>
      <c r="C8" t="s">
        <v>286</v>
      </c>
    </row>
    <row r="9" spans="1:4">
      <c r="A9" s="38" t="s">
        <v>76</v>
      </c>
      <c r="B9" s="39">
        <v>23</v>
      </c>
      <c r="C9" t="s">
        <v>287</v>
      </c>
    </row>
    <row r="10" spans="1:4">
      <c r="A10" s="38" t="s">
        <v>48</v>
      </c>
      <c r="B10" s="39">
        <v>44</v>
      </c>
      <c r="C10" t="s">
        <v>288</v>
      </c>
    </row>
    <row r="11" spans="1:4">
      <c r="A11" s="38" t="s">
        <v>129</v>
      </c>
      <c r="B11" s="39">
        <v>8</v>
      </c>
      <c r="C11" t="s">
        <v>289</v>
      </c>
    </row>
    <row r="12" spans="1:4">
      <c r="A12" s="38" t="s">
        <v>121</v>
      </c>
      <c r="B12" s="39">
        <v>3</v>
      </c>
      <c r="C12" t="s">
        <v>290</v>
      </c>
    </row>
    <row r="13" spans="1:4">
      <c r="A13" s="52" t="s">
        <v>60</v>
      </c>
      <c r="B13" s="53">
        <v>62</v>
      </c>
      <c r="C13" t="s">
        <v>291</v>
      </c>
    </row>
    <row r="14" spans="1:4">
      <c r="A14" s="38" t="s">
        <v>58</v>
      </c>
      <c r="B14" s="39">
        <v>26</v>
      </c>
      <c r="C14" t="s">
        <v>292</v>
      </c>
    </row>
    <row r="15" spans="1:4">
      <c r="A15" s="175" t="s">
        <v>179</v>
      </c>
      <c r="B15" s="176">
        <v>37</v>
      </c>
      <c r="C15" t="s">
        <v>293</v>
      </c>
    </row>
    <row r="16" spans="1:4">
      <c r="A16" s="38" t="s">
        <v>78</v>
      </c>
      <c r="B16" s="39">
        <v>13</v>
      </c>
      <c r="C16" t="s">
        <v>294</v>
      </c>
    </row>
    <row r="17" spans="1:3">
      <c r="A17" s="38" t="s">
        <v>151</v>
      </c>
      <c r="B17" s="39" t="s">
        <v>152</v>
      </c>
      <c r="C17" t="s">
        <v>295</v>
      </c>
    </row>
    <row r="18" spans="1:3">
      <c r="A18" s="38" t="s">
        <v>81</v>
      </c>
      <c r="B18" s="39">
        <v>14</v>
      </c>
      <c r="C18" t="s">
        <v>296</v>
      </c>
    </row>
    <row r="19" spans="1:3">
      <c r="A19" s="38" t="s">
        <v>145</v>
      </c>
      <c r="B19" s="39" t="s">
        <v>146</v>
      </c>
      <c r="C19" t="s">
        <v>297</v>
      </c>
    </row>
    <row r="20" spans="1:3">
      <c r="A20" s="38" t="s">
        <v>50</v>
      </c>
      <c r="B20" s="39">
        <v>49</v>
      </c>
      <c r="C20" t="s">
        <v>298</v>
      </c>
    </row>
    <row r="21" spans="1:3">
      <c r="A21" s="38" t="s">
        <v>52</v>
      </c>
      <c r="B21" s="39">
        <v>48</v>
      </c>
      <c r="C21" t="s">
        <v>299</v>
      </c>
    </row>
    <row r="22" spans="1:3">
      <c r="A22" s="38" t="s">
        <v>132</v>
      </c>
      <c r="B22" s="39">
        <v>35</v>
      </c>
      <c r="C22" t="s">
        <v>300</v>
      </c>
    </row>
    <row r="23" spans="1:3">
      <c r="A23" s="38" t="s">
        <v>84</v>
      </c>
      <c r="B23" s="39">
        <v>42</v>
      </c>
      <c r="C23" t="s">
        <v>301</v>
      </c>
    </row>
    <row r="24" spans="1:3">
      <c r="A24" s="38" t="s">
        <v>105</v>
      </c>
      <c r="B24" s="39">
        <v>27</v>
      </c>
      <c r="C24" t="s">
        <v>302</v>
      </c>
    </row>
    <row r="25" spans="1:3">
      <c r="A25" s="38" t="s">
        <v>134</v>
      </c>
      <c r="B25" s="39">
        <v>6</v>
      </c>
      <c r="C25" t="s">
        <v>303</v>
      </c>
    </row>
    <row r="26" spans="1:3">
      <c r="A26" s="196" t="s">
        <v>191</v>
      </c>
      <c r="B26" s="197">
        <v>61</v>
      </c>
      <c r="C26" t="s">
        <v>304</v>
      </c>
    </row>
    <row r="27" spans="1:3">
      <c r="A27" s="38" t="s">
        <v>54</v>
      </c>
      <c r="B27" s="39">
        <v>18</v>
      </c>
      <c r="C27" t="s">
        <v>305</v>
      </c>
    </row>
    <row r="28" spans="1:3">
      <c r="A28" s="196" t="s">
        <v>198</v>
      </c>
      <c r="B28" s="197">
        <v>41</v>
      </c>
    </row>
    <row r="29" spans="1:3">
      <c r="A29" s="38" t="s">
        <v>101</v>
      </c>
      <c r="B29" s="39">
        <v>43</v>
      </c>
      <c r="C29" t="s">
        <v>306</v>
      </c>
    </row>
    <row r="30" spans="1:3">
      <c r="A30" s="38" t="s">
        <v>87</v>
      </c>
      <c r="B30" s="39">
        <v>30</v>
      </c>
      <c r="C30" t="s">
        <v>307</v>
      </c>
    </row>
    <row r="31" spans="1:3">
      <c r="A31" s="38" t="s">
        <v>56</v>
      </c>
      <c r="B31" s="39">
        <v>39</v>
      </c>
      <c r="C31" t="s">
        <v>308</v>
      </c>
    </row>
    <row r="32" spans="1:3">
      <c r="A32" s="225" t="s">
        <v>202</v>
      </c>
      <c r="B32" s="226">
        <v>45</v>
      </c>
      <c r="C32" t="s">
        <v>309</v>
      </c>
    </row>
    <row r="33" spans="1:4">
      <c r="A33" s="38" t="s">
        <v>88</v>
      </c>
      <c r="B33" s="39">
        <v>11</v>
      </c>
      <c r="C33" t="s">
        <v>310</v>
      </c>
    </row>
    <row r="34" spans="1:4">
      <c r="A34" s="84" t="s">
        <v>66</v>
      </c>
      <c r="B34" s="85">
        <v>1</v>
      </c>
      <c r="D34" t="s">
        <v>311</v>
      </c>
    </row>
    <row r="35" spans="1:4">
      <c r="A35" s="38" t="s">
        <v>89</v>
      </c>
      <c r="B35" s="39">
        <v>24</v>
      </c>
      <c r="C35" t="s">
        <v>312</v>
      </c>
    </row>
    <row r="36" spans="1:4">
      <c r="A36" s="38" t="s">
        <v>103</v>
      </c>
      <c r="B36" s="39">
        <v>47</v>
      </c>
      <c r="C36" t="s">
        <v>313</v>
      </c>
    </row>
    <row r="37" spans="1:4">
      <c r="A37" s="38" t="s">
        <v>57</v>
      </c>
      <c r="B37" s="39">
        <v>17</v>
      </c>
      <c r="C37" t="s">
        <v>314</v>
      </c>
    </row>
    <row r="38" spans="1:4">
      <c r="A38" s="38" t="s">
        <v>116</v>
      </c>
      <c r="B38" s="39" t="s">
        <v>117</v>
      </c>
      <c r="C38" t="s">
        <v>315</v>
      </c>
    </row>
    <row r="39" spans="1:4">
      <c r="A39" s="38" t="s">
        <v>69</v>
      </c>
      <c r="B39" s="39">
        <v>2</v>
      </c>
      <c r="C39" t="s">
        <v>316</v>
      </c>
    </row>
    <row r="40" spans="1:4">
      <c r="A40" s="38" t="s">
        <v>109</v>
      </c>
      <c r="B40" s="39">
        <v>25</v>
      </c>
      <c r="C40" t="s">
        <v>317</v>
      </c>
    </row>
    <row r="41" spans="1:4">
      <c r="A41" s="38" t="s">
        <v>90</v>
      </c>
      <c r="B41" s="39">
        <v>12</v>
      </c>
      <c r="C41" t="s">
        <v>318</v>
      </c>
    </row>
    <row r="42" spans="1:4">
      <c r="A42" s="38" t="s">
        <v>93</v>
      </c>
      <c r="B42" s="39">
        <v>38</v>
      </c>
      <c r="C42" t="s">
        <v>319</v>
      </c>
    </row>
    <row r="43" spans="1:4">
      <c r="A43" s="196" t="s">
        <v>196</v>
      </c>
      <c r="B43" s="197">
        <v>36</v>
      </c>
    </row>
    <row r="44" spans="1:4">
      <c r="A44" s="196" t="s">
        <v>188</v>
      </c>
      <c r="B44" s="197">
        <v>60</v>
      </c>
      <c r="C44" t="s">
        <v>320</v>
      </c>
    </row>
    <row r="45" spans="1:4">
      <c r="A45" s="38" t="s">
        <v>110</v>
      </c>
      <c r="B45" s="39">
        <v>29</v>
      </c>
      <c r="C45" t="s">
        <v>321</v>
      </c>
    </row>
    <row r="46" spans="1:4">
      <c r="A46" s="38" t="s">
        <v>136</v>
      </c>
      <c r="B46" s="39">
        <v>7</v>
      </c>
      <c r="C46" t="s">
        <v>322</v>
      </c>
    </row>
    <row r="47" spans="1:4">
      <c r="A47" s="38" t="s">
        <v>96</v>
      </c>
      <c r="B47" s="39">
        <v>34</v>
      </c>
      <c r="C47" t="s">
        <v>323</v>
      </c>
    </row>
    <row r="48" spans="1:4">
      <c r="A48" s="38" t="s">
        <v>139</v>
      </c>
      <c r="B48" s="39">
        <v>33</v>
      </c>
      <c r="C48" t="s">
        <v>324</v>
      </c>
    </row>
    <row r="49" spans="1:3">
      <c r="A49" s="38" t="s">
        <v>112</v>
      </c>
      <c r="B49" s="39">
        <v>15</v>
      </c>
      <c r="C49" t="s">
        <v>325</v>
      </c>
    </row>
    <row r="50" spans="1:3">
      <c r="A50" s="38" t="s">
        <v>142</v>
      </c>
      <c r="B50" s="39">
        <v>4</v>
      </c>
      <c r="C50" t="s">
        <v>326</v>
      </c>
    </row>
    <row r="51" spans="1:3">
      <c r="A51" s="52" t="s">
        <v>62</v>
      </c>
      <c r="B51" s="53">
        <v>21</v>
      </c>
      <c r="C51" t="s">
        <v>327</v>
      </c>
    </row>
    <row r="52" spans="1:3">
      <c r="A52" s="38" t="s">
        <v>114</v>
      </c>
      <c r="B52" s="39">
        <v>46</v>
      </c>
      <c r="C52" t="s">
        <v>328</v>
      </c>
    </row>
    <row r="53" spans="1:3">
      <c r="A53" s="196" t="s">
        <v>184</v>
      </c>
      <c r="B53" s="197">
        <v>40</v>
      </c>
      <c r="C53" t="s">
        <v>329</v>
      </c>
    </row>
    <row r="54" spans="1:3">
      <c r="A54" s="38" t="s">
        <v>149</v>
      </c>
      <c r="B54" s="39" t="s">
        <v>150</v>
      </c>
      <c r="C54" t="s">
        <v>330</v>
      </c>
    </row>
    <row r="55" spans="1:3">
      <c r="A55" s="175" t="s">
        <v>174</v>
      </c>
      <c r="B55" s="176" t="s">
        <v>175</v>
      </c>
      <c r="C55" t="s">
        <v>331</v>
      </c>
    </row>
    <row r="56" spans="1:3">
      <c r="A56" s="38" t="s">
        <v>144</v>
      </c>
      <c r="B56" s="39">
        <v>5</v>
      </c>
      <c r="C56" t="s">
        <v>332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"/>
  <sheetViews>
    <sheetView zoomScaleNormal="100" workbookViewId="0">
      <pane xSplit="1" topLeftCell="R1" activePane="topRight" state="frozen"/>
      <selection pane="topRight" activeCell="AB4" sqref="AB4"/>
    </sheetView>
  </sheetViews>
  <sheetFormatPr baseColWidth="10" defaultColWidth="12.1796875" defaultRowHeight="12.5"/>
  <cols>
    <col min="1" max="1" width="27.453125" customWidth="1"/>
  </cols>
  <sheetData>
    <row r="1" spans="1:29" ht="13.5" thickBot="1">
      <c r="B1" s="170">
        <v>45108</v>
      </c>
      <c r="C1" s="170">
        <v>45117</v>
      </c>
      <c r="D1" s="170">
        <v>45127</v>
      </c>
      <c r="E1" s="171">
        <v>45139</v>
      </c>
      <c r="F1" s="171">
        <v>45148</v>
      </c>
      <c r="G1" s="171">
        <v>45158</v>
      </c>
      <c r="H1" s="171">
        <v>45170</v>
      </c>
      <c r="I1" s="171">
        <v>45179</v>
      </c>
      <c r="J1" s="171">
        <v>45189</v>
      </c>
      <c r="K1" s="171">
        <v>45200</v>
      </c>
      <c r="L1" s="171">
        <v>45209</v>
      </c>
      <c r="M1" s="171">
        <v>45219</v>
      </c>
      <c r="N1" s="171">
        <v>45231</v>
      </c>
      <c r="O1" s="171">
        <v>45261</v>
      </c>
      <c r="P1" s="170">
        <v>45474</v>
      </c>
      <c r="Q1" s="170">
        <v>45483</v>
      </c>
      <c r="R1" s="170">
        <v>45493</v>
      </c>
      <c r="S1" s="171">
        <v>45505</v>
      </c>
      <c r="T1" s="171">
        <v>45514</v>
      </c>
      <c r="U1" s="171">
        <v>45524</v>
      </c>
      <c r="V1" s="171">
        <v>45536</v>
      </c>
      <c r="W1" s="171">
        <v>45545</v>
      </c>
      <c r="X1" s="171">
        <v>45555</v>
      </c>
      <c r="Y1" s="171">
        <v>45566</v>
      </c>
      <c r="Z1" s="171">
        <v>45575</v>
      </c>
      <c r="AA1" s="171">
        <v>45585</v>
      </c>
      <c r="AB1" s="171">
        <v>45597</v>
      </c>
      <c r="AC1" s="171">
        <v>45627</v>
      </c>
    </row>
    <row r="2" spans="1:29" ht="37.5">
      <c r="A2" s="114" t="s">
        <v>333</v>
      </c>
      <c r="B2">
        <v>0</v>
      </c>
      <c r="C2">
        <v>0</v>
      </c>
      <c r="D2">
        <v>8.5000000000000006E-2</v>
      </c>
      <c r="E2">
        <v>3.157</v>
      </c>
      <c r="F2">
        <v>4.2610000000000001</v>
      </c>
      <c r="G2">
        <v>10.254</v>
      </c>
      <c r="H2">
        <v>17.584</v>
      </c>
      <c r="I2">
        <v>24.748000000000001</v>
      </c>
      <c r="J2">
        <v>28.664000000000001</v>
      </c>
      <c r="K2">
        <v>32.954999999999998</v>
      </c>
      <c r="L2">
        <v>32.954999999999998</v>
      </c>
      <c r="M2">
        <v>32.954999999999998</v>
      </c>
      <c r="N2">
        <v>32.954999999999998</v>
      </c>
      <c r="P2">
        <v>0</v>
      </c>
      <c r="Q2">
        <v>0</v>
      </c>
      <c r="R2">
        <v>0</v>
      </c>
      <c r="S2">
        <v>0</v>
      </c>
      <c r="T2">
        <v>7.4999999999999997E-2</v>
      </c>
      <c r="U2">
        <v>0.73199999999999998</v>
      </c>
      <c r="V2">
        <v>3.427</v>
      </c>
      <c r="W2">
        <v>4.1980000000000004</v>
      </c>
      <c r="X2">
        <v>4.1980000000000004</v>
      </c>
      <c r="Y2">
        <v>4.2130000000000001</v>
      </c>
      <c r="Z2">
        <v>4.2130000000000001</v>
      </c>
      <c r="AA2">
        <v>4.2130000000000001</v>
      </c>
      <c r="AB2">
        <v>4.2130000000000001</v>
      </c>
      <c r="AC2">
        <v>0</v>
      </c>
    </row>
    <row r="3" spans="1:29" ht="25">
      <c r="A3" s="114" t="s">
        <v>334</v>
      </c>
      <c r="B3">
        <v>0</v>
      </c>
      <c r="C3">
        <v>0</v>
      </c>
      <c r="D3">
        <v>0</v>
      </c>
      <c r="E3">
        <v>0.19800000000000001</v>
      </c>
      <c r="F3">
        <v>0.28199999999999997</v>
      </c>
      <c r="G3">
        <v>3.3370000000000002</v>
      </c>
      <c r="H3">
        <v>9.1120000000000001</v>
      </c>
      <c r="I3">
        <v>14.721</v>
      </c>
      <c r="J3">
        <v>17.547000000000001</v>
      </c>
      <c r="K3">
        <v>19.100000000000001</v>
      </c>
      <c r="L3">
        <v>22.036999999999999</v>
      </c>
      <c r="M3">
        <v>28.776</v>
      </c>
      <c r="N3">
        <v>31.713999999999999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0.23699999999999999</v>
      </c>
      <c r="W3">
        <v>0.317</v>
      </c>
      <c r="X3">
        <v>0.317</v>
      </c>
      <c r="Y3">
        <v>0.317</v>
      </c>
      <c r="Z3">
        <v>0.317</v>
      </c>
      <c r="AA3">
        <v>0.317</v>
      </c>
      <c r="AB3">
        <v>0.317</v>
      </c>
      <c r="AC3">
        <v>0</v>
      </c>
    </row>
    <row r="4" spans="1:29" ht="37.5">
      <c r="A4" s="114" t="s">
        <v>335</v>
      </c>
      <c r="B4">
        <f t="shared" ref="B4:O4" si="0">IF(ISBLANK(B2),"",B2-B3)</f>
        <v>0</v>
      </c>
      <c r="C4">
        <f t="shared" si="0"/>
        <v>0</v>
      </c>
      <c r="D4">
        <f t="shared" si="0"/>
        <v>8.5000000000000006E-2</v>
      </c>
      <c r="E4">
        <f t="shared" si="0"/>
        <v>2.9590000000000001</v>
      </c>
      <c r="F4">
        <f t="shared" si="0"/>
        <v>3.9790000000000001</v>
      </c>
      <c r="G4">
        <f t="shared" si="0"/>
        <v>6.9169999999999998</v>
      </c>
      <c r="H4">
        <f t="shared" si="0"/>
        <v>8.4719999999999995</v>
      </c>
      <c r="I4">
        <f t="shared" si="0"/>
        <v>10.027000000000001</v>
      </c>
      <c r="J4">
        <f t="shared" si="0"/>
        <v>11.117000000000001</v>
      </c>
      <c r="K4">
        <f t="shared" si="0"/>
        <v>13.854999999999997</v>
      </c>
      <c r="L4">
        <f t="shared" si="0"/>
        <v>10.917999999999999</v>
      </c>
      <c r="M4">
        <f t="shared" si="0"/>
        <v>4.1789999999999985</v>
      </c>
      <c r="N4">
        <f t="shared" si="0"/>
        <v>1.2409999999999997</v>
      </c>
      <c r="O4" t="str">
        <f t="shared" si="0"/>
        <v/>
      </c>
      <c r="P4">
        <v>0</v>
      </c>
      <c r="Q4">
        <v>0</v>
      </c>
      <c r="R4">
        <v>0</v>
      </c>
      <c r="S4">
        <v>0</v>
      </c>
      <c r="T4">
        <v>7.4999999999999997E-2</v>
      </c>
      <c r="U4">
        <v>0.73199999999999998</v>
      </c>
      <c r="V4">
        <v>3.19</v>
      </c>
      <c r="W4">
        <v>3.8820000000000001</v>
      </c>
      <c r="X4">
        <v>3.8820000000000001</v>
      </c>
      <c r="Y4">
        <v>3.8959999999999999</v>
      </c>
      <c r="Z4">
        <v>3.8959999999999999</v>
      </c>
      <c r="AA4">
        <v>3.8959999999999999</v>
      </c>
      <c r="AB4">
        <v>3.8959999999999999</v>
      </c>
      <c r="AC4"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Lisez-moi</vt:lpstr>
      <vt:lpstr>Réserves 2024</vt:lpstr>
      <vt:lpstr>Bilan_BSH</vt:lpstr>
      <vt:lpstr>Cartographie</vt:lpstr>
      <vt:lpstr>Réserves 2023</vt:lpstr>
      <vt:lpstr>Correspondance CODE</vt:lpstr>
      <vt:lpstr>suivi_droits_acquis_Entraygues</vt:lpstr>
      <vt:lpstr>'Réserves 2024'!Excel_BuiltIn__FilterDatabase</vt:lpstr>
      <vt:lpstr>'Réserves 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SEGARD Louise-Adélie</dc:creator>
  <dc:description/>
  <cp:lastModifiedBy>SEGARD Louise-Adélie</cp:lastModifiedBy>
  <cp:revision>26</cp:revision>
  <dcterms:created xsi:type="dcterms:W3CDTF">2023-10-13T16:32:54Z</dcterms:created>
  <dcterms:modified xsi:type="dcterms:W3CDTF">2025-02-05T14:23:19Z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